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20" windowHeight="7650" activeTab="3"/>
  </bookViews>
  <sheets>
    <sheet name="Rozpočet " sheetId="1" r:id="rId1"/>
    <sheet name="Rozpočet celkom" sheetId="2" r:id="rId2"/>
    <sheet name="VÝD-10" sheetId="3" r:id="rId3"/>
    <sheet name="VÝD-10 Tab" sheetId="4" r:id="rId4"/>
    <sheet name="P-V" sheetId="5" r:id="rId5"/>
    <sheet name="PR-10" sheetId="6" r:id="rId6"/>
    <sheet name="UZNESENIE OZ" sheetId="7" r:id="rId7"/>
    <sheet name="Hárok1" sheetId="8" r:id="rId8"/>
  </sheets>
  <definedNames/>
  <calcPr fullCalcOnLoad="1"/>
</workbook>
</file>

<file path=xl/sharedStrings.xml><?xml version="1.0" encoding="utf-8"?>
<sst xmlns="http://schemas.openxmlformats.org/spreadsheetml/2006/main" count="1694" uniqueCount="707">
  <si>
    <t>Pr</t>
  </si>
  <si>
    <t>PP</t>
  </si>
  <si>
    <t>D</t>
  </si>
  <si>
    <t>Zdr</t>
  </si>
  <si>
    <t>Pol</t>
  </si>
  <si>
    <t>Pod</t>
  </si>
  <si>
    <t>R</t>
  </si>
  <si>
    <t>Názov</t>
  </si>
  <si>
    <t>Tarif.pl., zákl. pl.,funk.pl.,</t>
  </si>
  <si>
    <t>Odmeny</t>
  </si>
  <si>
    <t>001</t>
  </si>
  <si>
    <t>002</t>
  </si>
  <si>
    <t>003</t>
  </si>
  <si>
    <t>004</t>
  </si>
  <si>
    <t>Poist.na-Zdravotné poistenie</t>
  </si>
  <si>
    <t>Poist.na-Nemocenské poist.</t>
  </si>
  <si>
    <t>Poist.na-Starobné poistenie</t>
  </si>
  <si>
    <t>Poist.na-Úrazové pistenie</t>
  </si>
  <si>
    <t>Poist.na-Invalidné poistenie</t>
  </si>
  <si>
    <t>005</t>
  </si>
  <si>
    <t>Prísp na poist. V nezamestn.</t>
  </si>
  <si>
    <t>007</t>
  </si>
  <si>
    <t>Poist. Do rezervného fondu</t>
  </si>
  <si>
    <t>Príspevok  DDP</t>
  </si>
  <si>
    <t>PROGRAM:</t>
  </si>
  <si>
    <t>PODPROGRAM:</t>
  </si>
  <si>
    <t xml:space="preserve">OBCE BUDMERICE </t>
  </si>
  <si>
    <t>Cestovné náklady</t>
  </si>
  <si>
    <t>telefón</t>
  </si>
  <si>
    <t>006</t>
  </si>
  <si>
    <t>Všeobecný materiál</t>
  </si>
  <si>
    <t>016</t>
  </si>
  <si>
    <t>Reprezentačné výdavky</t>
  </si>
  <si>
    <t>Školenia, semináre</t>
  </si>
  <si>
    <t>Všeobecné služby</t>
  </si>
  <si>
    <t>Vnútorná kontrola</t>
  </si>
  <si>
    <t>Audit</t>
  </si>
  <si>
    <t>Audit-špeciálne služby</t>
  </si>
  <si>
    <t>Členstvo v samospr.org. A zdr.</t>
  </si>
  <si>
    <t>Príspevok-nadácií RÉVIA</t>
  </si>
  <si>
    <t>Príspevok-Slovakiatoru</t>
  </si>
  <si>
    <t>Členské príspevky,ZMOS,</t>
  </si>
  <si>
    <t>Územné plánovanie</t>
  </si>
  <si>
    <t xml:space="preserve">Právne,notárske, advokátske </t>
  </si>
  <si>
    <t>služby</t>
  </si>
  <si>
    <t>011</t>
  </si>
  <si>
    <t>023</t>
  </si>
  <si>
    <t>Kolkové známky</t>
  </si>
  <si>
    <t>Územný plán obce</t>
  </si>
  <si>
    <t>spolu</t>
  </si>
  <si>
    <t>Plánovanie, manažment a kontrola</t>
  </si>
  <si>
    <t>Manažment obce</t>
  </si>
  <si>
    <t>Propagácia a prezentácia obce</t>
  </si>
  <si>
    <t>Propagácia a marketing</t>
  </si>
  <si>
    <t>Národnostná kultúra</t>
  </si>
  <si>
    <t>Kronika obce</t>
  </si>
  <si>
    <t xml:space="preserve">Kronika </t>
  </si>
  <si>
    <t>027</t>
  </si>
  <si>
    <t xml:space="preserve">DVP-odmena </t>
  </si>
  <si>
    <t>Propagácia a marketing spolu</t>
  </si>
  <si>
    <t>Interné služby-právne zastupovanie obce</t>
  </si>
  <si>
    <t>012</t>
  </si>
  <si>
    <t>Súdne poplatky</t>
  </si>
  <si>
    <t>Zasadnutia orgánov obce</t>
  </si>
  <si>
    <t>Interné služby-odmeny poslancom OZ</t>
  </si>
  <si>
    <t>026</t>
  </si>
  <si>
    <t>Materiálové výdavky</t>
  </si>
  <si>
    <t>014</t>
  </si>
  <si>
    <t>Služby občanom</t>
  </si>
  <si>
    <t>Poštovné služby</t>
  </si>
  <si>
    <t>spolu -zo šátneho rozpočtu</t>
  </si>
  <si>
    <t>Poist.na-Zdr. Poistenie-VšZP</t>
  </si>
  <si>
    <t>Register obyvateľov</t>
  </si>
  <si>
    <t>Cintorínske a pohrebné služby</t>
  </si>
  <si>
    <t>Pohrebníctvo-elektrina</t>
  </si>
  <si>
    <t>Pohrebníctvo-materiálové výd.</t>
  </si>
  <si>
    <t>015</t>
  </si>
  <si>
    <t>Pohrebníctvo-PHM na kosenie</t>
  </si>
  <si>
    <t>Pohrebníctvo-všeobecné služ.</t>
  </si>
  <si>
    <t>Pohrebníctvo-DVP</t>
  </si>
  <si>
    <t>Miestny rozhlas</t>
  </si>
  <si>
    <t>M.rozhlas-materiálové výd.</t>
  </si>
  <si>
    <t>Mistny rozhlas-údržba</t>
  </si>
  <si>
    <t>spolu-Miestny rozhlas</t>
  </si>
  <si>
    <t>spolu-Pohrebníctvo</t>
  </si>
  <si>
    <t>Bezpečnosť, právo a poriadok</t>
  </si>
  <si>
    <t>Civilná ochrana - CO</t>
  </si>
  <si>
    <t>Civilná ochrana-DVP</t>
  </si>
  <si>
    <t>spolu - CO</t>
  </si>
  <si>
    <t>Ochrana pred požiarmi</t>
  </si>
  <si>
    <t>PO-voda</t>
  </si>
  <si>
    <t>PO-Palivo, mazivá,oleje</t>
  </si>
  <si>
    <t>PO-údržba  strojov</t>
  </si>
  <si>
    <t>PO-údržba objektu</t>
  </si>
  <si>
    <t>PO-revízia has.prístrojov</t>
  </si>
  <si>
    <t>PO-DVP</t>
  </si>
  <si>
    <t>spolu-Požiarna ochrana</t>
  </si>
  <si>
    <t>Protipovodňové opatrenia</t>
  </si>
  <si>
    <t>Odpadové hospodárstvo</t>
  </si>
  <si>
    <t>Nakladanie s odpadmi</t>
  </si>
  <si>
    <t>TKO-vrecia na Pet fl,KUKA nád.</t>
  </si>
  <si>
    <t>Prenájom nádob na sklo</t>
  </si>
  <si>
    <t>Vývoz odpadu</t>
  </si>
  <si>
    <t>Uloženie odpadu</t>
  </si>
  <si>
    <t>spolu-Nakladanie s odpadmi</t>
  </si>
  <si>
    <t>Čistiareň odpadových vôd</t>
  </si>
  <si>
    <t>Poist.na-Zdr.poistenie-VšZP</t>
  </si>
  <si>
    <t>ČOV-elektrina</t>
  </si>
  <si>
    <t>ČOV-telefón</t>
  </si>
  <si>
    <t>010</t>
  </si>
  <si>
    <t>Prac.odev,obuv a pr.pomôcky</t>
  </si>
  <si>
    <t>Mazivá,oleje,špec. Kvapaliny</t>
  </si>
  <si>
    <t>Údržba strojov</t>
  </si>
  <si>
    <t>ČOV-DVP</t>
  </si>
  <si>
    <t>spolu- ČOV</t>
  </si>
  <si>
    <t>Cestná doprava</t>
  </si>
  <si>
    <t>Autobusová doprava</t>
  </si>
  <si>
    <t>Bus-zastávky-materiálové v.</t>
  </si>
  <si>
    <t>spolu- Autobusová doprava</t>
  </si>
  <si>
    <t>Pozemné komunikácie</t>
  </si>
  <si>
    <t>Miestne komunikácie</t>
  </si>
  <si>
    <t>MK-údržba a opravy</t>
  </si>
  <si>
    <t>MK-zimná údržba</t>
  </si>
  <si>
    <t>MK-DVP</t>
  </si>
  <si>
    <t>spolu-Miestne komunikácie</t>
  </si>
  <si>
    <t>Pozemné komunikácie/Transfér/</t>
  </si>
  <si>
    <t>spolu-Pozemné kom.-zo ŠR</t>
  </si>
  <si>
    <t>spolu-Kapitálový rozpočet</t>
  </si>
  <si>
    <t>Poistenie objektov ZŠ</t>
  </si>
  <si>
    <t>spolu-ZŠ bežný rozpočet</t>
  </si>
  <si>
    <t>spolu- Vzdelanie</t>
  </si>
  <si>
    <t>Kultúra</t>
  </si>
  <si>
    <t>Kultúrny dom</t>
  </si>
  <si>
    <t>KD-voda</t>
  </si>
  <si>
    <t>KD-signalizácia</t>
  </si>
  <si>
    <t>KD-materiálové výdavky</t>
  </si>
  <si>
    <t>KD-údržba budovy</t>
  </si>
  <si>
    <t>KD-všeobecné služby</t>
  </si>
  <si>
    <t>KD-revízie,prehliadky</t>
  </si>
  <si>
    <t>spolu-Kultúrny dom</t>
  </si>
  <si>
    <t>Kultúrnospoločenské organizácie</t>
  </si>
  <si>
    <t>spolu-Na činnosť organizácií</t>
  </si>
  <si>
    <t>Miestna knižnica</t>
  </si>
  <si>
    <t>009</t>
  </si>
  <si>
    <t>Knihy,časopisy,noviny</t>
  </si>
  <si>
    <t>spolu-Knižnica</t>
  </si>
  <si>
    <t>Starostlivosť o kultúrne pamätihodnosti</t>
  </si>
  <si>
    <t>Pomník-materiálové výdavky</t>
  </si>
  <si>
    <t>spolu-Starostlivosť o pomník</t>
  </si>
  <si>
    <t>spolu-Kultúra</t>
  </si>
  <si>
    <t>Šport</t>
  </si>
  <si>
    <t>Ihrisko</t>
  </si>
  <si>
    <t>Ihrisko-energie</t>
  </si>
  <si>
    <t>Ihrisko-materiálové výdavky</t>
  </si>
  <si>
    <t>Ihrisko-PHM na kosenie</t>
  </si>
  <si>
    <t>Ihrisko-poistenie objektu</t>
  </si>
  <si>
    <t xml:space="preserve">Ihrisko-DVP </t>
  </si>
  <si>
    <t>spolu-Ihrisko-Bežný rozpočet</t>
  </si>
  <si>
    <t>Ihrisko-Kapitálový rozpočet</t>
  </si>
  <si>
    <t>spolu-Šport</t>
  </si>
  <si>
    <t>Prostredie pre život</t>
  </si>
  <si>
    <t>Verejné osvetlenie</t>
  </si>
  <si>
    <t>Verejné osvetlenie-elektrina</t>
  </si>
  <si>
    <t>VO-materiálové výdavky</t>
  </si>
  <si>
    <t>VO-údržba a oprava</t>
  </si>
  <si>
    <t>VO-všeobecné služby</t>
  </si>
  <si>
    <t>spolu-Verejné osvetlenie</t>
  </si>
  <si>
    <t>Stavebný úrad</t>
  </si>
  <si>
    <t>spolu-Stavebný ú./Transfér/</t>
  </si>
  <si>
    <t>Poštovné a telekom.služby</t>
  </si>
  <si>
    <t>Odborná litertúra</t>
  </si>
  <si>
    <t>Prac.odev,obuv</t>
  </si>
  <si>
    <t>013</t>
  </si>
  <si>
    <t>Softvér a licencie</t>
  </si>
  <si>
    <t>spolu-Sú-bežný rozpočet</t>
  </si>
  <si>
    <t>Životné prostredie</t>
  </si>
  <si>
    <t>spolu-Životné prost./Transfér/</t>
  </si>
  <si>
    <t>Zásobovanie obyvateľstva vodou</t>
  </si>
  <si>
    <t>Hydrant-voda</t>
  </si>
  <si>
    <t>Hydrant-DVP</t>
  </si>
  <si>
    <t>spolu-Zásobovanie vodou</t>
  </si>
  <si>
    <t>Verejná zeleň</t>
  </si>
  <si>
    <t>VZ-Poist.na-Úrazové pistenie</t>
  </si>
  <si>
    <t>Obstaranie-kosačiek</t>
  </si>
  <si>
    <t>VZ-materiálové výdavky</t>
  </si>
  <si>
    <t>VZ-Prac.odev,obuv,rukavice</t>
  </si>
  <si>
    <t>VZ-údržba strojov,kosačiek</t>
  </si>
  <si>
    <t>VZ-DVP</t>
  </si>
  <si>
    <t>spolu-Verejná zeleň</t>
  </si>
  <si>
    <t>spolu-Prostredie pre život</t>
  </si>
  <si>
    <t>Bývanie</t>
  </si>
  <si>
    <t>Bytovka 6bj</t>
  </si>
  <si>
    <t>Elektrina</t>
  </si>
  <si>
    <t>Voda</t>
  </si>
  <si>
    <t>Poistenie budovy</t>
  </si>
  <si>
    <t>spolu-Bytovka 6bj</t>
  </si>
  <si>
    <t>Bytovka 8bj</t>
  </si>
  <si>
    <t>spolu-Bytovka 8bj</t>
  </si>
  <si>
    <t>Bytovka  16bj</t>
  </si>
  <si>
    <t>Zdravotné stredisko</t>
  </si>
  <si>
    <t>Údržba objektov</t>
  </si>
  <si>
    <t>spolu- Zdravotné stredisko</t>
  </si>
  <si>
    <t>spolu-Bývanie</t>
  </si>
  <si>
    <t>Sociálne služby</t>
  </si>
  <si>
    <t>Starostlivosť o st.občanov</t>
  </si>
  <si>
    <t>Príspevok na stravovanie dôch</t>
  </si>
  <si>
    <t>Dary pre jubilantov</t>
  </si>
  <si>
    <t>Vianočné dary pre dôchodcov</t>
  </si>
  <si>
    <t>Sociálne príspevky,výpomoce</t>
  </si>
  <si>
    <t>CSS-Centrum sociálnych služieb</t>
  </si>
  <si>
    <t>Poist.na-Zdr. Poist-Dôvera ZP</t>
  </si>
  <si>
    <t>CSS-Elektrina</t>
  </si>
  <si>
    <t>CSS-Plyn</t>
  </si>
  <si>
    <t>CSS-voda</t>
  </si>
  <si>
    <t>Poštovné,telekom.služby</t>
  </si>
  <si>
    <t>CSS</t>
  </si>
  <si>
    <t>spolu CSS /Transfér/</t>
  </si>
  <si>
    <t>Odb.literatúra,časpoisy</t>
  </si>
  <si>
    <t>Pracovné odevy,obuv</t>
  </si>
  <si>
    <t>Údržba budovy</t>
  </si>
  <si>
    <t>Školenia,kurzy,semináre</t>
  </si>
  <si>
    <t>Stravovanie klientov</t>
  </si>
  <si>
    <t>PN-nemocenské dávky</t>
  </si>
  <si>
    <t>spolu-CSS-Bežný rozpočet</t>
  </si>
  <si>
    <t>OPATS-Opatrovateľská služba</t>
  </si>
  <si>
    <t>OPATS-DVP</t>
  </si>
  <si>
    <t>CSS- DVP</t>
  </si>
  <si>
    <t>spolu-OPATS</t>
  </si>
  <si>
    <t>Podporná činnosť</t>
  </si>
  <si>
    <t>Správa obce</t>
  </si>
  <si>
    <t>Príspevok do DDP</t>
  </si>
  <si>
    <t>Oú-voda</t>
  </si>
  <si>
    <t>Oú-Interiérové vybavenie</t>
  </si>
  <si>
    <t>Oú-Kancelárske stroje</t>
  </si>
  <si>
    <t>Mat. výdavky-dielňa</t>
  </si>
  <si>
    <t>Pitný režim</t>
  </si>
  <si>
    <t>Údržba dopr.prostriedkov</t>
  </si>
  <si>
    <t>Poistenie vozidiel</t>
  </si>
  <si>
    <t>Údržba výp.techn,softvéru</t>
  </si>
  <si>
    <t>Údržba budovy,kotlov</t>
  </si>
  <si>
    <t>Stravovanie zamestnancov</t>
  </si>
  <si>
    <t>Prídel do Sociálneho fondu</t>
  </si>
  <si>
    <t>Oú- DVP</t>
  </si>
  <si>
    <t>Poplatky a odvody banke</t>
  </si>
  <si>
    <t>spolu-Poplatky banke</t>
  </si>
  <si>
    <t>spolu-Podporná činnosť</t>
  </si>
  <si>
    <t>Dlh a dlhová služba obce</t>
  </si>
  <si>
    <t>Splátka úrokov z úveru</t>
  </si>
  <si>
    <t>ŠFRB 8bj-spl.úrokov z úveru</t>
  </si>
  <si>
    <t>ŠFRB 6bj-spl.úrokov z úveru</t>
  </si>
  <si>
    <t>ŠFRB DSS-spl.úrokov z úveru</t>
  </si>
  <si>
    <t>Dexia b.-DSS spl.úrok  z úv.</t>
  </si>
  <si>
    <t>OTP b.-16 bj spl.úrokov z úv.</t>
  </si>
  <si>
    <t>ŠFRB 16bj-spl.úrokov z úveru</t>
  </si>
  <si>
    <t>spolu-splátka úrokov z úveru</t>
  </si>
  <si>
    <t>ŠFRB splátka úveru</t>
  </si>
  <si>
    <t>8bj</t>
  </si>
  <si>
    <t>6bj</t>
  </si>
  <si>
    <t>16bj</t>
  </si>
  <si>
    <t>spolu-ŠFRB úver</t>
  </si>
  <si>
    <t>Dexia b. spl.úveru</t>
  </si>
  <si>
    <t>OTP b.-spl.úveru</t>
  </si>
  <si>
    <t>spolu-Bankové úvery</t>
  </si>
  <si>
    <t>Kp</t>
  </si>
  <si>
    <t>01</t>
  </si>
  <si>
    <t xml:space="preserve"> na matriku</t>
  </si>
  <si>
    <t>na Register obyvateľov</t>
  </si>
  <si>
    <t>na Stavebné plánovanie</t>
  </si>
  <si>
    <t>na Starostlivosť o Životné pr.</t>
  </si>
  <si>
    <t>na Aktivačnú činnosť</t>
  </si>
  <si>
    <t>na Pozemné komunikácie</t>
  </si>
  <si>
    <t>02</t>
  </si>
  <si>
    <t>03</t>
  </si>
  <si>
    <t>04</t>
  </si>
  <si>
    <t>05</t>
  </si>
  <si>
    <t>06</t>
  </si>
  <si>
    <t>09</t>
  </si>
  <si>
    <t>ZŠ-dopravné pre žiakov</t>
  </si>
  <si>
    <t>ZŠ-vzdelávacie poukazy</t>
  </si>
  <si>
    <t>ZŠ-skolské potreby</t>
  </si>
  <si>
    <t>MŠ-prenesené kompetencie</t>
  </si>
  <si>
    <t>ZŠ na prenesené kompetencie</t>
  </si>
  <si>
    <t>21</t>
  </si>
  <si>
    <t>22</t>
  </si>
  <si>
    <t>23</t>
  </si>
  <si>
    <t>24</t>
  </si>
  <si>
    <t>27</t>
  </si>
  <si>
    <t>Výnos dane z príjmov</t>
  </si>
  <si>
    <t>Daň z pozemkov</t>
  </si>
  <si>
    <t>Daň zo stavieb</t>
  </si>
  <si>
    <t>Daň z bytov</t>
  </si>
  <si>
    <t>Daň za psa</t>
  </si>
  <si>
    <t>Daň za predajne automaty</t>
  </si>
  <si>
    <t>Daň za ubytovanie</t>
  </si>
  <si>
    <t>Daň za komunálne odpady</t>
  </si>
  <si>
    <t>Daň za jadrové zariadenia</t>
  </si>
  <si>
    <t>Pr.z prenajatých pozemkov</t>
  </si>
  <si>
    <t>Pr.z prenajatých budov-6bj</t>
  </si>
  <si>
    <t>Pr.z prenajatých budov-8bj</t>
  </si>
  <si>
    <t>Pr.z prenajatých budov-16bj</t>
  </si>
  <si>
    <t>Pr.z prenajatých b.-Zdr.str.</t>
  </si>
  <si>
    <t>Pr.z prenajatých b.Kult.dom</t>
  </si>
  <si>
    <t>Pr.z prenajatých b.K.dom-sála</t>
  </si>
  <si>
    <t>Pr.z prenajatých b.-ZŠ byt</t>
  </si>
  <si>
    <t>Overenie podpisov,fotokópie</t>
  </si>
  <si>
    <t>Rodný l.,sobášny l, úmrtný l.</t>
  </si>
  <si>
    <t>Ostatné poplatky-potvrdenie</t>
  </si>
  <si>
    <t>Sú-územné,stavebné,kolaud.</t>
  </si>
  <si>
    <t>Rybárske lístky</t>
  </si>
  <si>
    <t>Ostatné správne poplatky</t>
  </si>
  <si>
    <t>Pokuty a penále</t>
  </si>
  <si>
    <t>Istrochem-poplatok</t>
  </si>
  <si>
    <t>Pr.z účtov fin.hospodárenia</t>
  </si>
  <si>
    <t>CSS-príspevok od darcov</t>
  </si>
  <si>
    <t>OPATS-Opatrovateľký popl.</t>
  </si>
  <si>
    <t>CSS-pr.od klientov</t>
  </si>
  <si>
    <t>Pr.-vyhlásenie v MR</t>
  </si>
  <si>
    <t>Pr.-trhové miesto</t>
  </si>
  <si>
    <t>Pr.-za Dom smútku</t>
  </si>
  <si>
    <t>Hrobové miesto</t>
  </si>
  <si>
    <t>Knižnica-členský príspevok</t>
  </si>
  <si>
    <t>Pr.-z predaja propag.materiálu</t>
  </si>
  <si>
    <t>Pr.-z predaja KUKA nádob</t>
  </si>
  <si>
    <t>Pr.za faxovú službu</t>
  </si>
  <si>
    <t>Pr.za kosenie od občanov</t>
  </si>
  <si>
    <t>Pr. Za spotr.vody</t>
  </si>
  <si>
    <t>Pr. Fakt. Zravotné stredisko</t>
  </si>
  <si>
    <t>Pr.vyprac KZ vklad do katastra</t>
  </si>
  <si>
    <t>Pr. Z recyklačného fondu</t>
  </si>
  <si>
    <t xml:space="preserve">spolu-Splátka úverov </t>
  </si>
  <si>
    <t>VZ-PHM do kosačiek</t>
  </si>
  <si>
    <t>TJ-Šachový klub</t>
  </si>
  <si>
    <t>Spolok Vinárov</t>
  </si>
  <si>
    <t>Slov. rybár.zväz</t>
  </si>
  <si>
    <t>Lodenica Gidra</t>
  </si>
  <si>
    <t>Klub vojakov v zálohe</t>
  </si>
  <si>
    <t>ZUŠ- Z.umelecká škola</t>
  </si>
  <si>
    <t>Jednota dôchodcov</t>
  </si>
  <si>
    <t>Matica slovenská</t>
  </si>
  <si>
    <t>Ochr.odev,obuv a pr.pomôcky</t>
  </si>
  <si>
    <t>Propagačný materiál obce</t>
  </si>
  <si>
    <t>spolu-Kronika obce</t>
  </si>
  <si>
    <t>spolu-Manažment obce</t>
  </si>
  <si>
    <t>€</t>
  </si>
  <si>
    <t>spolu-Kontrolór</t>
  </si>
  <si>
    <t>Osvedčovanie ,pokladňa</t>
  </si>
  <si>
    <t>Príplatok</t>
  </si>
  <si>
    <t>Vzdelanie -Školstvo -OK</t>
  </si>
  <si>
    <t>spolu- Sociálne služby</t>
  </si>
  <si>
    <t>spolu-Interné služby obce</t>
  </si>
  <si>
    <t xml:space="preserve">ROZPOČET VÝDAVKOV OBCE BUDMERICE </t>
  </si>
  <si>
    <t>Program</t>
  </si>
  <si>
    <t>Plánovanie,manažment a kontrola</t>
  </si>
  <si>
    <t>Dlh a dlhová služba obce-spl.úrokov z úveru</t>
  </si>
  <si>
    <t>Spolu rozpočet bežných výdavkov obce</t>
  </si>
  <si>
    <t>Spolu rozpočet kapitálových výdavkov obce</t>
  </si>
  <si>
    <t>spolu-Služby občanom</t>
  </si>
  <si>
    <t xml:space="preserve">Spolu- Finančné operácie </t>
  </si>
  <si>
    <t xml:space="preserve">Spolu rozpočet bežných +kapitálových výdavkov </t>
  </si>
  <si>
    <t>Bežné výdavky</t>
  </si>
  <si>
    <t>Kapitálové výdavky</t>
  </si>
  <si>
    <t>Návrh rozpočtu výdavkov spolu</t>
  </si>
  <si>
    <t>ZŠ na stravu - hmotná núdza</t>
  </si>
  <si>
    <t>Pr.za kopírovanie</t>
  </si>
  <si>
    <t>Príjem z predaja pozemkov</t>
  </si>
  <si>
    <t>Kapitálové príjmy</t>
  </si>
  <si>
    <t>Bežné príjmy</t>
  </si>
  <si>
    <t>Transfer pre ZŠ</t>
  </si>
  <si>
    <t>Transfery + OK pre ZŠ spolu</t>
  </si>
  <si>
    <t>Transfery pre ZŠ</t>
  </si>
  <si>
    <t>Bežné príjmy spolu</t>
  </si>
  <si>
    <t>Kapitálové príjmy spolu</t>
  </si>
  <si>
    <t>Bežné výdavky obce</t>
  </si>
  <si>
    <t>Prebytok bežného rozpočtu</t>
  </si>
  <si>
    <t>Kapitálové príjmy obce</t>
  </si>
  <si>
    <t>Kapitálové výdavky obce</t>
  </si>
  <si>
    <t>Schodok kapitálového rozpočtu</t>
  </si>
  <si>
    <t>Príjmové finančné operácie</t>
  </si>
  <si>
    <t>Výdavkové finančné operácie</t>
  </si>
  <si>
    <t>Hospodárenie finančné operácie</t>
  </si>
  <si>
    <t>Príjmy bežné a kapitálové</t>
  </si>
  <si>
    <t>Výdavky bežné a kapitálové</t>
  </si>
  <si>
    <t>Celkom príjmy</t>
  </si>
  <si>
    <t>Celkom výdavky</t>
  </si>
  <si>
    <t>Rozdiel príjmov a výdavkov</t>
  </si>
  <si>
    <t>Bežné príjmy obce / BP +TR/</t>
  </si>
  <si>
    <t>Prebytok- Rozdiel príjmov a výdavkov</t>
  </si>
  <si>
    <t>Rozpočet-Bežný + Kapitálový</t>
  </si>
  <si>
    <t>Rozpočet-finančné operácie</t>
  </si>
  <si>
    <t>Rozpočet-Bežný,Kapitálový,Finančné operácie</t>
  </si>
  <si>
    <t>v €</t>
  </si>
  <si>
    <t>OBEC BUDMERICE</t>
  </si>
  <si>
    <t>Rozdiel bežného rozpočtu</t>
  </si>
  <si>
    <t>Kapitálové  výdavky</t>
  </si>
  <si>
    <t>Rozdiel kapitálového rozpočtu</t>
  </si>
  <si>
    <t>Rozdiel z finančného rozpočtu</t>
  </si>
  <si>
    <t>ROZPOČET OBCE ROZDIEL CELKOM</t>
  </si>
  <si>
    <t xml:space="preserve">Po schválení zverejnené na úradnej tabuli </t>
  </si>
  <si>
    <t>spolu-Špeciálne služby</t>
  </si>
  <si>
    <t>Obec Budmerice</t>
  </si>
  <si>
    <t>Tuzemské bežné granty a transfery</t>
  </si>
  <si>
    <t>Daňové príjmy -dane z príjmov, dane z majetku</t>
  </si>
  <si>
    <t>Daňové príjmy-dane za špeciálne služby</t>
  </si>
  <si>
    <t>Nedaňové príjmy-príjmy z podnikania a z vlastníctva majetku</t>
  </si>
  <si>
    <t>Nedaňové príjmy-administratívne poplatky a iné popl.a platby</t>
  </si>
  <si>
    <t>Daň za výhené hracie prístroje</t>
  </si>
  <si>
    <t>Tuzemské bežné granty a transfery-zo ŠR</t>
  </si>
  <si>
    <t>Rozpočtové príjmy</t>
  </si>
  <si>
    <t>Rozpočtové príjmy spolu</t>
  </si>
  <si>
    <t>Finančné operácie príjem</t>
  </si>
  <si>
    <t>Finančné operácie výdaj</t>
  </si>
  <si>
    <t>Spolu-Plánovanie,manažment</t>
  </si>
  <si>
    <t xml:space="preserve">a kontrola </t>
  </si>
  <si>
    <t>Interné služby</t>
  </si>
  <si>
    <t>spolu-Odpadové hospodárstvo</t>
  </si>
  <si>
    <t>Pozemné kom.-Rekonštrukcia</t>
  </si>
  <si>
    <t>Spolu-Pozemné komunikácie</t>
  </si>
  <si>
    <t>Rozpočet výdavkov</t>
  </si>
  <si>
    <t>Výdavky obce a ZŠ spolu</t>
  </si>
  <si>
    <t>CSS-Centrum sociálnych služiebTR</t>
  </si>
  <si>
    <t>spolu-na Register obyv.</t>
  </si>
  <si>
    <t>Revitalizácia námestia</t>
  </si>
  <si>
    <t>Softvér, licencie</t>
  </si>
  <si>
    <t>spolu-Správa obce</t>
  </si>
  <si>
    <t xml:space="preserve">Vzdelanie </t>
  </si>
  <si>
    <t>Splátka  úveru-ŠFRB</t>
  </si>
  <si>
    <t>Splátka  úveru-Bankové úvery</t>
  </si>
  <si>
    <t>Vzdelanie-Základné školy</t>
  </si>
  <si>
    <t xml:space="preserve">Prebytok rozpočtu obce </t>
  </si>
  <si>
    <t>Činnosť matriky / Transfer/</t>
  </si>
  <si>
    <t>Oú-cestovné náhrady</t>
  </si>
  <si>
    <t>Transfery ŠR spolu</t>
  </si>
  <si>
    <t>spolu-Úver + úrok</t>
  </si>
  <si>
    <t>Sumárna tabuľka</t>
  </si>
  <si>
    <t>Vzdelanie - školstvo</t>
  </si>
  <si>
    <t>Ihrisko-údržba, oprava objektu</t>
  </si>
  <si>
    <t>Pr.ČOV-sprac.odp.vody</t>
  </si>
  <si>
    <t>spolu-Protipovodňové opatr.</t>
  </si>
  <si>
    <t>MČK,RVC, ZMaMOR, ZHK</t>
  </si>
  <si>
    <t>Trasnfer na CSS spolu</t>
  </si>
  <si>
    <t>CSS spolu</t>
  </si>
  <si>
    <t>Odo dňa:</t>
  </si>
  <si>
    <t>r.2013</t>
  </si>
  <si>
    <t>Dobrovoľný hasičský zbor</t>
  </si>
  <si>
    <t>Budmeričania deťom</t>
  </si>
  <si>
    <t>Kredit pre MŠ</t>
  </si>
  <si>
    <t>r.2014</t>
  </si>
  <si>
    <t xml:space="preserve">Kultúrne podujatia </t>
  </si>
  <si>
    <t>PHM -kosenie parku</t>
  </si>
  <si>
    <t>Prenájom parku v kašt.</t>
  </si>
  <si>
    <t>spolu- Kultúrne podujatia</t>
  </si>
  <si>
    <t>Pohrebníctvo-údržba a opr.</t>
  </si>
  <si>
    <t>PO-plyn</t>
  </si>
  <si>
    <t>PO-elektrina</t>
  </si>
  <si>
    <t>PO-technik PO, BOZP</t>
  </si>
  <si>
    <t>PO-telekomunikačné služby</t>
  </si>
  <si>
    <t>Merače rýchlosti inf.panel</t>
  </si>
  <si>
    <t>ZŠ-materiálové výdavky</t>
  </si>
  <si>
    <t>KD-plyn</t>
  </si>
  <si>
    <t>KD-elektrina</t>
  </si>
  <si>
    <t>KD-mat.výd-materské centr.</t>
  </si>
  <si>
    <t>KD divadelné predstavenia</t>
  </si>
  <si>
    <t>KD-poistenie objektu</t>
  </si>
  <si>
    <t>Ihrisko-všeobecné služby</t>
  </si>
  <si>
    <t>VZ-PHM-AVI,VARI Terra</t>
  </si>
  <si>
    <t>Včelín-Voda</t>
  </si>
  <si>
    <t>Plyn</t>
  </si>
  <si>
    <t>Oú-plyn</t>
  </si>
  <si>
    <t>Oú-energie</t>
  </si>
  <si>
    <t>Kredit-MŠ</t>
  </si>
  <si>
    <t>ZŠ-byt -klub elektrina</t>
  </si>
  <si>
    <t>Uvítanie detí do života</t>
  </si>
  <si>
    <t>spolu-propagácia obce</t>
  </si>
  <si>
    <t>Deň obce-Včeobecné služby</t>
  </si>
  <si>
    <t>Ihrisko-výmena strechy</t>
  </si>
  <si>
    <t>Ihrisko- výmena okien</t>
  </si>
  <si>
    <t>VZ-mat.výd rastliny</t>
  </si>
  <si>
    <t>CSS-Altánok</t>
  </si>
  <si>
    <t xml:space="preserve">Osobný automobil </t>
  </si>
  <si>
    <t>spolu -kapit výd oú</t>
  </si>
  <si>
    <t>Predkladá: Jozef Savkuliak, starosta obce Budmerice</t>
  </si>
  <si>
    <t>Oú-rekonštrukcia,modernizác</t>
  </si>
  <si>
    <t>Oú-počítačová technika</t>
  </si>
  <si>
    <t>Chodník</t>
  </si>
  <si>
    <t>PHM,oleje,kvapaliny</t>
  </si>
  <si>
    <t>Dotácie  na činnosť organizácií</t>
  </si>
  <si>
    <t>Šp.klub- FC Budmerice</t>
  </si>
  <si>
    <t>Protipov. Opatrenia-ÚP</t>
  </si>
  <si>
    <t>Vývoz odpad.vôd-Kanal.služby</t>
  </si>
  <si>
    <t>s ch v a ľ u j e</t>
  </si>
  <si>
    <t>Príjmy spolu</t>
  </si>
  <si>
    <t xml:space="preserve">Bežné výdavky </t>
  </si>
  <si>
    <t>Finančné operácie výdavky</t>
  </si>
  <si>
    <t>Finančné operácie príjmové</t>
  </si>
  <si>
    <t>Výdavky spolu</t>
  </si>
  <si>
    <t>Rozpočet na</t>
  </si>
  <si>
    <t>berie na vedomie</t>
  </si>
  <si>
    <t>rok 2013</t>
  </si>
  <si>
    <t>rok 2014</t>
  </si>
  <si>
    <t>VZOR uznesenia zastupiteľstva § 9</t>
  </si>
  <si>
    <t>Rozpočet</t>
  </si>
  <si>
    <t>skutočnosť</t>
  </si>
  <si>
    <t>za r 2012</t>
  </si>
  <si>
    <t>Protipov.náklady obce</t>
  </si>
  <si>
    <t>Odstupné</t>
  </si>
  <si>
    <t>Dočasný most</t>
  </si>
  <si>
    <t>ZŠsMŠ-  Rekonštr.po vytopení</t>
  </si>
  <si>
    <t>spolu-ZŠ kapitálový rozpočet</t>
  </si>
  <si>
    <t>údržba PC</t>
  </si>
  <si>
    <t>VZ-Kaštieľ  kosenie trávy  v parku</t>
  </si>
  <si>
    <t>Elektrina-zmrzlinový stánok</t>
  </si>
  <si>
    <t>BT-prídavok na dieťa-Stojkovičová K.</t>
  </si>
  <si>
    <t>Príplatky</t>
  </si>
  <si>
    <t>Prenáj.pozemkov</t>
  </si>
  <si>
    <t>Prenáj.dávkovača na vodu</t>
  </si>
  <si>
    <t>r.2015</t>
  </si>
  <si>
    <t>Voľby  / NR SR 2012 /</t>
  </si>
  <si>
    <t>TR-Stavebný úrad</t>
  </si>
  <si>
    <t>Poplatky a odvody</t>
  </si>
  <si>
    <t>Popl.Tipsport, Niké</t>
  </si>
  <si>
    <t>Trovy súdneho konania</t>
  </si>
  <si>
    <t>Pr. Z dobropisov-prepl.poistné</t>
  </si>
  <si>
    <t>Oú Štefanová-dotácia na ZŠ</t>
  </si>
  <si>
    <t>Glasa R. dar na tlač novín</t>
  </si>
  <si>
    <t>Pr.- popl. stočné</t>
  </si>
  <si>
    <t>Pr.-Známka na psa</t>
  </si>
  <si>
    <t>Pr. Zo vstupného</t>
  </si>
  <si>
    <t>Pr. Aziri G. náklady na stánok</t>
  </si>
  <si>
    <t>Pr.fakt.nákl. na Stavebný.ú</t>
  </si>
  <si>
    <t>Pr.fakt. Za Včelín</t>
  </si>
  <si>
    <t>Pr. KD energie</t>
  </si>
  <si>
    <t xml:space="preserve">Pr. Z predaja </t>
  </si>
  <si>
    <t xml:space="preserve">Rozpočet príjmov  pre rok  </t>
  </si>
  <si>
    <t>na Dobr. Činnosť</t>
  </si>
  <si>
    <t>na Voľby do NR SR</t>
  </si>
  <si>
    <t>07</t>
  </si>
  <si>
    <t>08</t>
  </si>
  <si>
    <t>11</t>
  </si>
  <si>
    <t>na Vojnový hrob</t>
  </si>
  <si>
    <t>17</t>
  </si>
  <si>
    <t>na povodňové operácie</t>
  </si>
  <si>
    <t>26</t>
  </si>
  <si>
    <t>30</t>
  </si>
  <si>
    <t>19</t>
  </si>
  <si>
    <t>na činnosť CSS z MPSVaR</t>
  </si>
  <si>
    <t>na činnosť CSS z BSK</t>
  </si>
  <si>
    <t>42</t>
  </si>
  <si>
    <t>Prídavok na d.Stojkovičová K</t>
  </si>
  <si>
    <t>na rok</t>
  </si>
  <si>
    <t xml:space="preserve">Prehľad výdavkov programovej štruktúry  na r. </t>
  </si>
  <si>
    <t>za r.2012</t>
  </si>
  <si>
    <t>ROZPOČET OBCE BUDMERICE NA ROK  2013</t>
  </si>
  <si>
    <t>za rok</t>
  </si>
  <si>
    <t>Finančné operácie - príjmy</t>
  </si>
  <si>
    <t>Prevod z rezervného fondu</t>
  </si>
  <si>
    <t>454</t>
  </si>
  <si>
    <t>Finančné operácie- príjmy spolu</t>
  </si>
  <si>
    <t>Transfery zo ŠR pre školstvo-Prenesené k.</t>
  </si>
  <si>
    <t>HBC HURONS občianske zdr.</t>
  </si>
  <si>
    <t>HbK Panteri</t>
  </si>
  <si>
    <t>Občianske zdr.KASIOPEA</t>
  </si>
  <si>
    <t>Karate tím NALÍ</t>
  </si>
  <si>
    <t xml:space="preserve">Poľovnícke združenie Topoľ </t>
  </si>
  <si>
    <t>AKTÍV centrum volného času</t>
  </si>
  <si>
    <t>Reprezentačné výd.ostatné</t>
  </si>
  <si>
    <t>Tlač novín-dar Glasa R.</t>
  </si>
  <si>
    <t>Letecké fotografovanie obce</t>
  </si>
  <si>
    <t>BSK-dar na deň detí</t>
  </si>
  <si>
    <t>Istrochem-dar na podujatia v obci</t>
  </si>
  <si>
    <t>Konzultačné služby</t>
  </si>
  <si>
    <t>Odmeny pre členov komisií</t>
  </si>
  <si>
    <t>PO-mat. výd.</t>
  </si>
  <si>
    <t>Odpadové koše pre obec,KUKA</t>
  </si>
  <si>
    <t>Prísp do DDP</t>
  </si>
  <si>
    <t>Údržba budov, objektov</t>
  </si>
  <si>
    <t>ČOV-revízie kontroly</t>
  </si>
  <si>
    <t>Dažďová-Kanalizácia projekt</t>
  </si>
  <si>
    <t>spolu-D.kanalizácia kapit rozp.</t>
  </si>
  <si>
    <t>MK-služby MK</t>
  </si>
  <si>
    <t>Parkovisko pri 16 BJ</t>
  </si>
  <si>
    <t>Most- Ml.náhon rekonštrukcia</t>
  </si>
  <si>
    <t>ZŠ- TR KŚÚ podlahy,maľovanie</t>
  </si>
  <si>
    <t>ZŠ-stoly,lavice,tabule</t>
  </si>
  <si>
    <t>ZŠ-prac.odev</t>
  </si>
  <si>
    <t>ZŠ-PHM na kosenie areálu</t>
  </si>
  <si>
    <t>ZŠ-údržba budovy</t>
  </si>
  <si>
    <t>ZŠ- služby</t>
  </si>
  <si>
    <t>ZŠ-TR Oú Štefanová na opravu ZŠ</t>
  </si>
  <si>
    <t>ZŠsMŠ-  Rekonštr.po vytop z RF</t>
  </si>
  <si>
    <t>KD-rekonštrukcia budovy</t>
  </si>
  <si>
    <t>spolu-Kultúrny dom-kapit.výd</t>
  </si>
  <si>
    <t>Kontrola hydrantov-služby</t>
  </si>
  <si>
    <t xml:space="preserve">VZ-údržba a opr voz.AVIA,TERRA </t>
  </si>
  <si>
    <t>TR-Aktivačná činnosť cez ÚP</t>
  </si>
  <si>
    <t>TR-Doborovolná. činnosť cez ÚP</t>
  </si>
  <si>
    <t>TR-starostlivosť o vojnové hroby</t>
  </si>
  <si>
    <t>TR spolu</t>
  </si>
  <si>
    <t>Rekonštrukcia zdr.str.podkrovie</t>
  </si>
  <si>
    <t>spolu-Kapit.výd.zdr.str.</t>
  </si>
  <si>
    <t>Spolu-Zdravotné stredisko</t>
  </si>
  <si>
    <t>Cestovné náhrady</t>
  </si>
  <si>
    <t>CSS-softvér,licencie, antivírus</t>
  </si>
  <si>
    <t>Školenia,kurzy-semináre</t>
  </si>
  <si>
    <t>TR-na CSS od MFSR</t>
  </si>
  <si>
    <t>TR-na CSS od MFSR spolu</t>
  </si>
  <si>
    <t>Propagácia,reklama,inzercia</t>
  </si>
  <si>
    <t>Revízie budov</t>
  </si>
  <si>
    <t>Vzdelanie -OK školné MŠ, ŠKD</t>
  </si>
  <si>
    <t>VZ-projekt na výsadbu VZ,služby</t>
  </si>
  <si>
    <t>Pr.z prenajatých b-SLINES</t>
  </si>
  <si>
    <t>Ostatné správne popl.SHR</t>
  </si>
  <si>
    <t>Pr.-Z náhrad poistného za ZŠ</t>
  </si>
  <si>
    <t>Pr.BVS Dividendy</t>
  </si>
  <si>
    <t>Pr.propagácia,Istrochem</t>
  </si>
  <si>
    <t>008</t>
  </si>
  <si>
    <t>na deň detí od BSK</t>
  </si>
  <si>
    <t>12</t>
  </si>
  <si>
    <t>na vým.podláh,maľovanieZŠ</t>
  </si>
  <si>
    <t>Pr.-mzda skladníka CO</t>
  </si>
  <si>
    <t>rozpočet vrátane programov a podprogramov na rok 2013</t>
  </si>
  <si>
    <t>viacročný rozpočet vrátane programov a podprogramov na roky 2014-2015</t>
  </si>
  <si>
    <t>rok 2015</t>
  </si>
  <si>
    <t>NA ROK  2013 -2014 - 2015</t>
  </si>
  <si>
    <t>Časopis obce Budmerice-2x vydané2012</t>
  </si>
  <si>
    <t>Spracovala: J. Ochabová, dňa  : 12.2.2013</t>
  </si>
  <si>
    <t>Spracovala: J. Ochabová, dňa  :12.2.2013</t>
  </si>
  <si>
    <t xml:space="preserve">Originálne kompetencie pre školstvo </t>
  </si>
  <si>
    <t>Voľno časové aktivity detí v školstve -OK</t>
  </si>
  <si>
    <t>Voľno časové aktivity v školstve-OK</t>
  </si>
  <si>
    <t xml:space="preserve">Rekapitulácia rozpočtu výdavkov obce </t>
  </si>
  <si>
    <t>Odmeny poslanom OZ</t>
  </si>
  <si>
    <t>S.Lines-úhrada straty spojov</t>
  </si>
  <si>
    <t xml:space="preserve">ZŠsMŠ-  Rekonštrukcia </t>
  </si>
  <si>
    <t>Obec-obstaranie nehn./pozemkov/</t>
  </si>
  <si>
    <t>Dažďová-Kanalizácia -Oškera Blažej</t>
  </si>
  <si>
    <t>Dopravné znač.-mat.výd.a pasportizácia</t>
  </si>
  <si>
    <t>Parkovisko pri KD-septik</t>
  </si>
  <si>
    <t>Budmerické zvesti-  DVP</t>
  </si>
  <si>
    <t>Propagácia a marketing/prezentácia obce,propagačný mat.Budmerické zvesti</t>
  </si>
  <si>
    <t>Interné služby, právne zastupovanie obce/notárske,právne sl.,ob.zastupiteľstvo, komisie</t>
  </si>
  <si>
    <t>Odpadové hospodárstvo/nakladanie s odpadmi,vývoz a uloženie odp.čistiareň odp.vôd.</t>
  </si>
  <si>
    <t>Doprava /starostlivosť o autobusové zast.,úhrada časti strát na autobusovej linke/</t>
  </si>
  <si>
    <t>Bezpečnosť, právo a poriadok/civilná ochr.,požiarna ochrana,povodňové opatrenia/</t>
  </si>
  <si>
    <t>Služby občanom/činnosť matriky,register ob,cint.a pohrebné služby,miestny rozhlas/</t>
  </si>
  <si>
    <t>Pozemné komunikácie/starostlivosť o pozemné komunikácie,chodníkov, výstavba/</t>
  </si>
  <si>
    <t>Vzdelávanie/ náklady na ZŠ s MŠ, rekonštrukcia objktov/</t>
  </si>
  <si>
    <t>Kultúra/ Kult.dom, divadelné predstavenia, dotácie pre miestne organizácie/</t>
  </si>
  <si>
    <t>Šport /prevádzka ihriska, údržba objektu/</t>
  </si>
  <si>
    <t>Prostredie pre život/V.osvetlenie,v.zeleň, stav.úrad,životné prostr.zásobovanie pitnou vodou/</t>
  </si>
  <si>
    <t>Bývanie/ Bytové d.:6bj, 8bj, 16bj, zdravotné stredisko/</t>
  </si>
  <si>
    <t>Sociálne služby/starostlivosť o st.občanov,stravovanie,dary soc.výpom.CSS ,OPATS/</t>
  </si>
  <si>
    <t>Podporná činnosť /správa obce/</t>
  </si>
  <si>
    <t>Rozpočet  obce na rok</t>
  </si>
  <si>
    <t xml:space="preserve">Rozpočet ZŠsMŠ </t>
  </si>
  <si>
    <t>Prebytok rozpočtu obce</t>
  </si>
  <si>
    <t>Rozpočet obce</t>
  </si>
  <si>
    <t xml:space="preserve">Rozpočet </t>
  </si>
  <si>
    <t>v € spolu</t>
  </si>
  <si>
    <t xml:space="preserve">   R O Z P O Č E T</t>
  </si>
  <si>
    <t xml:space="preserve">Rozpočet obce na rok </t>
  </si>
  <si>
    <t>Rozpočet výdavkov na  rok  2013 - 2014 - 2015</t>
  </si>
  <si>
    <t xml:space="preserve"> v €   </t>
  </si>
  <si>
    <t xml:space="preserve">Rozpočet bežných výdavkov </t>
  </si>
  <si>
    <t xml:space="preserve">Rozpočet  kapitálových výdavkov </t>
  </si>
  <si>
    <t>Rozpočet finančných operácií obce</t>
  </si>
  <si>
    <t>Rozpočet bežných + kapitálových výdavkov obce</t>
  </si>
  <si>
    <t>Rozpočet výdavkov obce na r. 2013</t>
  </si>
  <si>
    <t>Originálne kompetencie pre školstvo</t>
  </si>
  <si>
    <t xml:space="preserve">ROZPOČET PRÍJMOV A VÝDAVKOV  OBCE BUDMERICE </t>
  </si>
  <si>
    <t xml:space="preserve"> v €  na r.</t>
  </si>
  <si>
    <t>Rozp.vzdelanie</t>
  </si>
  <si>
    <t>Schválené na OZ dňa:    16.3.2013. Uznesenie OZ č.  15/12/2013</t>
  </si>
  <si>
    <t>19.03.2013</t>
  </si>
  <si>
    <t>do dňa: 2.4.2013</t>
  </si>
  <si>
    <t>Schválené na OZ dňa:    16.03.2013. Uznesenie OZ č.  15/12/2013</t>
  </si>
  <si>
    <t>Schválené na OZ dňa:   16.3.2013. Uznesenie OZ č.  15/12/2013</t>
  </si>
  <si>
    <t xml:space="preserve">Zverejnenie pred schválením:  dňa  12.2.2013  </t>
  </si>
  <si>
    <t>do dňa:</t>
  </si>
  <si>
    <t>Schválené na OZ dňa:    16.3.2013. Uznesenie OZ č. 15/12/2013</t>
  </si>
  <si>
    <t>Obecné zastupiteľstvo uznesením č. 15/12/2013</t>
  </si>
  <si>
    <t>Obecné zastupiteľstvo uznesením č. 15/2/2013</t>
  </si>
  <si>
    <t xml:space="preserve">Vzdelanie -OK-Školstvo </t>
  </si>
  <si>
    <t xml:space="preserve">Zverejnenie pred schválením:  dňa  12.2.2013 </t>
  </si>
  <si>
    <t>str.č.1/4</t>
  </si>
  <si>
    <t>str.č.2/4</t>
  </si>
  <si>
    <t>str.č.3/4</t>
  </si>
  <si>
    <t>str.č.4/4</t>
  </si>
  <si>
    <t>str.č.1/20</t>
  </si>
  <si>
    <t>str.č.2/20</t>
  </si>
  <si>
    <t>str.č.3/20</t>
  </si>
  <si>
    <t>str.č.4/20</t>
  </si>
  <si>
    <t>str.č.5/20</t>
  </si>
  <si>
    <t>str.č.6/20</t>
  </si>
  <si>
    <t>str.č.7/20</t>
  </si>
  <si>
    <t>str.č.8/20</t>
  </si>
  <si>
    <t>str.č.9/20</t>
  </si>
  <si>
    <t>str.č.10/20</t>
  </si>
  <si>
    <t>str.č.11/20</t>
  </si>
  <si>
    <t>str.č.12/20</t>
  </si>
  <si>
    <t>str.č.13/20</t>
  </si>
  <si>
    <t>str.č.14/20</t>
  </si>
  <si>
    <t>str.č.15/20</t>
  </si>
  <si>
    <t>str.č.16/20</t>
  </si>
  <si>
    <t>str.č.17/20</t>
  </si>
  <si>
    <t>str.č.18/20</t>
  </si>
  <si>
    <t>str.č.19/20</t>
  </si>
  <si>
    <t>str.č.20/20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</si>
</sst>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#,##0_ ;\-#,##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62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b/>
      <sz val="20"/>
      <name val="Calibri"/>
      <family val="2"/>
    </font>
    <font>
      <sz val="9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26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rgb="FF00B0F0"/>
      <name val="Calibri"/>
      <family val="2"/>
    </font>
    <font>
      <b/>
      <sz val="11"/>
      <color theme="3" tint="0.39998000860214233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/>
      <right/>
      <top/>
      <bottom style="dotted"/>
    </border>
    <border>
      <left/>
      <right style="medium"/>
      <top/>
      <bottom/>
    </border>
    <border>
      <left/>
      <right style="medium"/>
      <top style="dotted"/>
      <bottom style="dotted"/>
    </border>
    <border>
      <left style="medium"/>
      <right/>
      <top/>
      <bottom/>
    </border>
    <border>
      <left/>
      <right style="medium"/>
      <top/>
      <bottom style="dotted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 style="dotted"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dotted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dotted"/>
      <top style="dotted"/>
      <bottom style="dotted"/>
    </border>
    <border>
      <left/>
      <right style="medium"/>
      <top style="dotted"/>
      <bottom/>
    </border>
    <border>
      <left style="medium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 style="medium"/>
      <right style="dotted"/>
      <top/>
      <bottom/>
    </border>
    <border>
      <left style="medium"/>
      <right style="dotted"/>
      <top/>
      <bottom style="dotted"/>
    </border>
    <border>
      <left style="dotted"/>
      <right/>
      <top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 style="thin"/>
      <right style="thin"/>
      <top style="medium"/>
      <bottom style="dotted"/>
    </border>
    <border>
      <left/>
      <right style="medium"/>
      <top style="medium"/>
      <bottom style="dotted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dotted"/>
      <bottom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dotted"/>
      <top/>
      <bottom style="dotted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dotted"/>
      <right/>
      <top/>
      <bottom style="medium"/>
    </border>
    <border>
      <left style="dotted"/>
      <right/>
      <top style="dotted"/>
      <bottom/>
    </border>
    <border>
      <left/>
      <right style="medium"/>
      <top/>
      <bottom style="double"/>
    </border>
    <border>
      <left style="thin"/>
      <right/>
      <top style="medium"/>
      <bottom style="dotted"/>
    </border>
    <border>
      <left style="thin"/>
      <right/>
      <top/>
      <bottom style="dotted"/>
    </border>
    <border>
      <left style="dotted"/>
      <right/>
      <top style="medium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3" fontId="5" fillId="34" borderId="27" xfId="0" applyNumberFormat="1" applyFont="1" applyFill="1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49" fontId="54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1" fontId="47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29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49" fontId="47" fillId="0" borderId="0" xfId="0" applyNumberFormat="1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9" fontId="47" fillId="0" borderId="0" xfId="0" applyNumberFormat="1" applyFont="1" applyAlignment="1">
      <alignment/>
    </xf>
    <xf numFmtId="3" fontId="47" fillId="0" borderId="12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0" fontId="54" fillId="0" borderId="11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left"/>
    </xf>
    <xf numFmtId="49" fontId="47" fillId="0" borderId="12" xfId="0" applyNumberFormat="1" applyFont="1" applyBorder="1" applyAlignment="1">
      <alignment horizontal="left"/>
    </xf>
    <xf numFmtId="0" fontId="47" fillId="0" borderId="12" xfId="0" applyFont="1" applyBorder="1" applyAlignment="1">
      <alignment/>
    </xf>
    <xf numFmtId="3" fontId="47" fillId="0" borderId="16" xfId="0" applyNumberFormat="1" applyFont="1" applyBorder="1" applyAlignment="1">
      <alignment/>
    </xf>
    <xf numFmtId="0" fontId="54" fillId="0" borderId="15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49" fontId="54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/>
    </xf>
    <xf numFmtId="9" fontId="47" fillId="0" borderId="0" xfId="0" applyNumberFormat="1" applyFont="1" applyBorder="1" applyAlignment="1">
      <alignment/>
    </xf>
    <xf numFmtId="0" fontId="55" fillId="35" borderId="0" xfId="0" applyFont="1" applyFill="1" applyAlignment="1">
      <alignment/>
    </xf>
    <xf numFmtId="1" fontId="55" fillId="35" borderId="0" xfId="0" applyNumberFormat="1" applyFont="1" applyFill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left"/>
    </xf>
    <xf numFmtId="49" fontId="5" fillId="0" borderId="32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3" fontId="5" fillId="0" borderId="3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0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left"/>
    </xf>
    <xf numFmtId="49" fontId="5" fillId="0" borderId="39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40" xfId="0" applyNumberFormat="1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/>
    </xf>
    <xf numFmtId="3" fontId="5" fillId="34" borderId="36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0" fontId="5" fillId="0" borderId="11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49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4" xfId="0" applyNumberFormat="1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0" fontId="4" fillId="0" borderId="39" xfId="0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5" fillId="36" borderId="15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left"/>
    </xf>
    <xf numFmtId="49" fontId="8" fillId="36" borderId="0" xfId="0" applyNumberFormat="1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3" fontId="8" fillId="36" borderId="0" xfId="0" applyNumberFormat="1" applyFont="1" applyFill="1" applyBorder="1" applyAlignment="1">
      <alignment/>
    </xf>
    <xf numFmtId="3" fontId="8" fillId="36" borderId="13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8" fillId="0" borderId="30" xfId="0" applyFont="1" applyBorder="1" applyAlignment="1">
      <alignment horizontal="left"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4" fillId="0" borderId="42" xfId="0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left"/>
    </xf>
    <xf numFmtId="49" fontId="8" fillId="36" borderId="10" xfId="0" applyNumberFormat="1" applyFont="1" applyFill="1" applyBorder="1" applyAlignment="1">
      <alignment horizontal="left"/>
    </xf>
    <xf numFmtId="0" fontId="8" fillId="36" borderId="10" xfId="0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8" fillId="36" borderId="14" xfId="0" applyNumberFormat="1" applyFont="1" applyFill="1" applyBorder="1" applyAlignment="1">
      <alignment/>
    </xf>
    <xf numFmtId="0" fontId="8" fillId="0" borderId="15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34" borderId="11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8" fillId="34" borderId="15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49" fontId="8" fillId="34" borderId="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8" fillId="0" borderId="42" xfId="0" applyFont="1" applyBorder="1" applyAlignment="1">
      <alignment horizontal="left"/>
    </xf>
    <xf numFmtId="49" fontId="8" fillId="0" borderId="35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49" fontId="5" fillId="0" borderId="43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6" fillId="0" borderId="15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49" fontId="46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5" fillId="0" borderId="40" xfId="0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3" fontId="46" fillId="0" borderId="12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0" fontId="0" fillId="0" borderId="42" xfId="0" applyFont="1" applyBorder="1" applyAlignment="1">
      <alignment horizontal="left"/>
    </xf>
    <xf numFmtId="49" fontId="46" fillId="0" borderId="35" xfId="0" applyNumberFormat="1" applyFont="1" applyBorder="1" applyAlignment="1">
      <alignment horizontal="left"/>
    </xf>
    <xf numFmtId="0" fontId="56" fillId="34" borderId="30" xfId="0" applyFont="1" applyFill="1" applyBorder="1" applyAlignment="1">
      <alignment horizontal="left"/>
    </xf>
    <xf numFmtId="0" fontId="56" fillId="34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left"/>
    </xf>
    <xf numFmtId="49" fontId="56" fillId="34" borderId="12" xfId="0" applyNumberFormat="1" applyFont="1" applyFill="1" applyBorder="1" applyAlignment="1">
      <alignment horizontal="left"/>
    </xf>
    <xf numFmtId="0" fontId="56" fillId="34" borderId="12" xfId="0" applyFont="1" applyFill="1" applyBorder="1" applyAlignment="1">
      <alignment/>
    </xf>
    <xf numFmtId="3" fontId="46" fillId="34" borderId="12" xfId="0" applyNumberFormat="1" applyFont="1" applyFill="1" applyBorder="1" applyAlignment="1">
      <alignment/>
    </xf>
    <xf numFmtId="3" fontId="46" fillId="34" borderId="16" xfId="0" applyNumberFormat="1" applyFont="1" applyFill="1" applyBorder="1" applyAlignment="1">
      <alignment/>
    </xf>
    <xf numFmtId="0" fontId="56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left"/>
    </xf>
    <xf numFmtId="49" fontId="56" fillId="34" borderId="10" xfId="0" applyNumberFormat="1" applyFont="1" applyFill="1" applyBorder="1" applyAlignment="1">
      <alignment horizontal="left"/>
    </xf>
    <xf numFmtId="0" fontId="56" fillId="34" borderId="10" xfId="0" applyFont="1" applyFill="1" applyBorder="1" applyAlignment="1">
      <alignment/>
    </xf>
    <xf numFmtId="3" fontId="46" fillId="34" borderId="39" xfId="0" applyNumberFormat="1" applyFont="1" applyFill="1" applyBorder="1" applyAlignment="1">
      <alignment/>
    </xf>
    <xf numFmtId="0" fontId="56" fillId="0" borderId="42" xfId="0" applyFont="1" applyBorder="1" applyAlignment="1">
      <alignment horizontal="left"/>
    </xf>
    <xf numFmtId="49" fontId="56" fillId="0" borderId="35" xfId="0" applyNumberFormat="1" applyFont="1" applyBorder="1" applyAlignment="1">
      <alignment horizontal="left"/>
    </xf>
    <xf numFmtId="0" fontId="56" fillId="0" borderId="10" xfId="0" applyFont="1" applyBorder="1" applyAlignment="1">
      <alignment/>
    </xf>
    <xf numFmtId="0" fontId="0" fillId="0" borderId="44" xfId="0" applyFont="1" applyBorder="1" applyAlignment="1">
      <alignment horizontal="center"/>
    </xf>
    <xf numFmtId="3" fontId="46" fillId="0" borderId="35" xfId="0" applyNumberFormat="1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3" fontId="0" fillId="0" borderId="47" xfId="0" applyNumberFormat="1" applyFont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8" fillId="34" borderId="30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0" fontId="8" fillId="34" borderId="12" xfId="0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5" fillId="0" borderId="40" xfId="0" applyFont="1" applyBorder="1" applyAlignment="1">
      <alignment horizontal="center"/>
    </xf>
    <xf numFmtId="0" fontId="8" fillId="34" borderId="42" xfId="0" applyFont="1" applyFill="1" applyBorder="1" applyAlignment="1">
      <alignment horizontal="left"/>
    </xf>
    <xf numFmtId="49" fontId="8" fillId="34" borderId="40" xfId="0" applyNumberFormat="1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8" fillId="34" borderId="48" xfId="0" applyFont="1" applyFill="1" applyBorder="1" applyAlignment="1">
      <alignment horizontal="left"/>
    </xf>
    <xf numFmtId="0" fontId="8" fillId="34" borderId="49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left"/>
    </xf>
    <xf numFmtId="49" fontId="8" fillId="34" borderId="49" xfId="0" applyNumberFormat="1" applyFont="1" applyFill="1" applyBorder="1" applyAlignment="1">
      <alignment horizontal="left"/>
    </xf>
    <xf numFmtId="0" fontId="8" fillId="34" borderId="49" xfId="0" applyFont="1" applyFill="1" applyBorder="1" applyAlignment="1">
      <alignment/>
    </xf>
    <xf numFmtId="3" fontId="11" fillId="34" borderId="49" xfId="0" applyNumberFormat="1" applyFont="1" applyFill="1" applyBorder="1" applyAlignment="1">
      <alignment/>
    </xf>
    <xf numFmtId="3" fontId="11" fillId="34" borderId="50" xfId="0" applyNumberFormat="1" applyFont="1" applyFill="1" applyBorder="1" applyAlignment="1">
      <alignment/>
    </xf>
    <xf numFmtId="0" fontId="54" fillId="0" borderId="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4" fillId="37" borderId="29" xfId="0" applyFont="1" applyFill="1" applyBorder="1" applyAlignment="1">
      <alignment/>
    </xf>
    <xf numFmtId="0" fontId="4" fillId="37" borderId="51" xfId="0" applyFont="1" applyFill="1" applyBorder="1" applyAlignment="1">
      <alignment/>
    </xf>
    <xf numFmtId="0" fontId="4" fillId="37" borderId="51" xfId="0" applyFont="1" applyFill="1" applyBorder="1" applyAlignment="1">
      <alignment horizontal="left"/>
    </xf>
    <xf numFmtId="49" fontId="4" fillId="37" borderId="51" xfId="0" applyNumberFormat="1" applyFont="1" applyFill="1" applyBorder="1" applyAlignment="1">
      <alignment/>
    </xf>
    <xf numFmtId="3" fontId="4" fillId="37" borderId="52" xfId="0" applyNumberFormat="1" applyFont="1" applyFill="1" applyBorder="1" applyAlignment="1">
      <alignment/>
    </xf>
    <xf numFmtId="3" fontId="5" fillId="37" borderId="52" xfId="0" applyNumberFormat="1" applyFont="1" applyFill="1" applyBorder="1" applyAlignment="1">
      <alignment/>
    </xf>
    <xf numFmtId="3" fontId="5" fillId="37" borderId="53" xfId="0" applyNumberFormat="1" applyFont="1" applyFill="1" applyBorder="1" applyAlignment="1">
      <alignment/>
    </xf>
    <xf numFmtId="0" fontId="5" fillId="36" borderId="54" xfId="0" applyFont="1" applyFill="1" applyBorder="1" applyAlignment="1">
      <alignment/>
    </xf>
    <xf numFmtId="0" fontId="4" fillId="36" borderId="55" xfId="0" applyFont="1" applyFill="1" applyBorder="1" applyAlignment="1">
      <alignment/>
    </xf>
    <xf numFmtId="0" fontId="5" fillId="36" borderId="55" xfId="0" applyFont="1" applyFill="1" applyBorder="1" applyAlignment="1">
      <alignment horizontal="left"/>
    </xf>
    <xf numFmtId="49" fontId="5" fillId="36" borderId="55" xfId="0" applyNumberFormat="1" applyFont="1" applyFill="1" applyBorder="1" applyAlignment="1">
      <alignment/>
    </xf>
    <xf numFmtId="0" fontId="5" fillId="36" borderId="55" xfId="0" applyFont="1" applyFill="1" applyBorder="1" applyAlignment="1">
      <alignment/>
    </xf>
    <xf numFmtId="3" fontId="5" fillId="36" borderId="56" xfId="0" applyNumberFormat="1" applyFont="1" applyFill="1" applyBorder="1" applyAlignment="1">
      <alignment/>
    </xf>
    <xf numFmtId="3" fontId="5" fillId="36" borderId="57" xfId="0" applyNumberFormat="1" applyFont="1" applyFill="1" applyBorder="1" applyAlignment="1">
      <alignment/>
    </xf>
    <xf numFmtId="0" fontId="5" fillId="37" borderId="29" xfId="0" applyFont="1" applyFill="1" applyBorder="1" applyAlignment="1">
      <alignment/>
    </xf>
    <xf numFmtId="0" fontId="5" fillId="0" borderId="28" xfId="0" applyFont="1" applyBorder="1" applyAlignment="1">
      <alignment/>
    </xf>
    <xf numFmtId="49" fontId="4" fillId="0" borderId="32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49" fontId="4" fillId="0" borderId="17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37" borderId="53" xfId="0" applyNumberFormat="1" applyFont="1" applyFill="1" applyBorder="1" applyAlignment="1">
      <alignment/>
    </xf>
    <xf numFmtId="9" fontId="4" fillId="0" borderId="63" xfId="0" applyNumberFormat="1" applyFont="1" applyBorder="1" applyAlignment="1">
      <alignment/>
    </xf>
    <xf numFmtId="0" fontId="4" fillId="0" borderId="64" xfId="0" applyFont="1" applyBorder="1" applyAlignment="1">
      <alignment/>
    </xf>
    <xf numFmtId="165" fontId="5" fillId="0" borderId="0" xfId="33" applyNumberFormat="1" applyFont="1" applyAlignment="1">
      <alignment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49" fontId="5" fillId="34" borderId="0" xfId="0" applyNumberFormat="1" applyFont="1" applyFill="1" applyBorder="1" applyAlignment="1">
      <alignment/>
    </xf>
    <xf numFmtId="3" fontId="5" fillId="34" borderId="31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4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3" borderId="29" xfId="0" applyFont="1" applyFill="1" applyBorder="1" applyAlignment="1">
      <alignment/>
    </xf>
    <xf numFmtId="0" fontId="4" fillId="33" borderId="51" xfId="0" applyFont="1" applyFill="1" applyBorder="1" applyAlignment="1">
      <alignment/>
    </xf>
    <xf numFmtId="0" fontId="5" fillId="0" borderId="51" xfId="0" applyFont="1" applyBorder="1" applyAlignment="1">
      <alignment/>
    </xf>
    <xf numFmtId="3" fontId="5" fillId="0" borderId="51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0" fontId="5" fillId="0" borderId="65" xfId="0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5" fillId="36" borderId="66" xfId="0" applyFont="1" applyFill="1" applyBorder="1" applyAlignment="1">
      <alignment/>
    </xf>
    <xf numFmtId="0" fontId="5" fillId="36" borderId="67" xfId="0" applyFont="1" applyFill="1" applyBorder="1" applyAlignment="1">
      <alignment/>
    </xf>
    <xf numFmtId="0" fontId="56" fillId="34" borderId="11" xfId="0" applyFont="1" applyFill="1" applyBorder="1" applyAlignment="1">
      <alignment horizontal="left"/>
    </xf>
    <xf numFmtId="3" fontId="46" fillId="34" borderId="41" xfId="0" applyNumberFormat="1" applyFont="1" applyFill="1" applyBorder="1" applyAlignment="1">
      <alignment/>
    </xf>
    <xf numFmtId="3" fontId="38" fillId="0" borderId="0" xfId="0" applyNumberFormat="1" applyFont="1" applyAlignment="1">
      <alignment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49" fontId="5" fillId="0" borderId="55" xfId="0" applyNumberFormat="1" applyFont="1" applyBorder="1" applyAlignment="1">
      <alignment horizontal="left"/>
    </xf>
    <xf numFmtId="0" fontId="5" fillId="0" borderId="55" xfId="0" applyFont="1" applyBorder="1" applyAlignment="1">
      <alignment/>
    </xf>
    <xf numFmtId="0" fontId="8" fillId="0" borderId="55" xfId="0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0" fontId="5" fillId="36" borderId="48" xfId="0" applyFont="1" applyFill="1" applyBorder="1" applyAlignment="1">
      <alignment horizontal="left"/>
    </xf>
    <xf numFmtId="0" fontId="8" fillId="36" borderId="49" xfId="0" applyFont="1" applyFill="1" applyBorder="1" applyAlignment="1">
      <alignment horizontal="center"/>
    </xf>
    <xf numFmtId="0" fontId="8" fillId="36" borderId="49" xfId="0" applyFont="1" applyFill="1" applyBorder="1" applyAlignment="1">
      <alignment horizontal="left"/>
    </xf>
    <xf numFmtId="49" fontId="8" fillId="36" borderId="49" xfId="0" applyNumberFormat="1" applyFont="1" applyFill="1" applyBorder="1" applyAlignment="1">
      <alignment horizontal="left"/>
    </xf>
    <xf numFmtId="0" fontId="8" fillId="36" borderId="49" xfId="0" applyFont="1" applyFill="1" applyBorder="1" applyAlignment="1">
      <alignment/>
    </xf>
    <xf numFmtId="3" fontId="8" fillId="36" borderId="49" xfId="0" applyNumberFormat="1" applyFont="1" applyFill="1" applyBorder="1" applyAlignment="1">
      <alignment/>
    </xf>
    <xf numFmtId="3" fontId="8" fillId="36" borderId="50" xfId="0" applyNumberFormat="1" applyFont="1" applyFill="1" applyBorder="1" applyAlignment="1">
      <alignment/>
    </xf>
    <xf numFmtId="0" fontId="5" fillId="0" borderId="68" xfId="0" applyFont="1" applyBorder="1" applyAlignment="1">
      <alignment/>
    </xf>
    <xf numFmtId="3" fontId="5" fillId="0" borderId="69" xfId="0" applyNumberFormat="1" applyFont="1" applyBorder="1" applyAlignment="1">
      <alignment horizontal="center"/>
    </xf>
    <xf numFmtId="3" fontId="5" fillId="0" borderId="62" xfId="0" applyNumberFormat="1" applyFont="1" applyBorder="1" applyAlignment="1">
      <alignment/>
    </xf>
    <xf numFmtId="0" fontId="5" fillId="34" borderId="6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3" fontId="5" fillId="34" borderId="62" xfId="0" applyNumberFormat="1" applyFont="1" applyFill="1" applyBorder="1" applyAlignment="1">
      <alignment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3" fontId="5" fillId="0" borderId="7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35" borderId="10" xfId="0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38" fillId="0" borderId="16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9" fontId="38" fillId="0" borderId="0" xfId="0" applyNumberFormat="1" applyFont="1" applyAlignment="1">
      <alignment/>
    </xf>
    <xf numFmtId="0" fontId="38" fillId="0" borderId="15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49" fontId="38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/>
    </xf>
    <xf numFmtId="0" fontId="5" fillId="0" borderId="32" xfId="0" applyFont="1" applyBorder="1" applyAlignment="1">
      <alignment horizontal="center"/>
    </xf>
    <xf numFmtId="49" fontId="4" fillId="0" borderId="32" xfId="0" applyNumberFormat="1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left"/>
    </xf>
    <xf numFmtId="49" fontId="5" fillId="0" borderId="51" xfId="0" applyNumberFormat="1" applyFont="1" applyBorder="1" applyAlignment="1">
      <alignment horizontal="left"/>
    </xf>
    <xf numFmtId="3" fontId="5" fillId="0" borderId="51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8" fillId="0" borderId="54" xfId="0" applyFont="1" applyBorder="1" applyAlignment="1">
      <alignment horizontal="left"/>
    </xf>
    <xf numFmtId="0" fontId="47" fillId="35" borderId="0" xfId="0" applyFont="1" applyFill="1" applyAlignment="1">
      <alignment/>
    </xf>
    <xf numFmtId="3" fontId="47" fillId="35" borderId="0" xfId="0" applyNumberFormat="1" applyFont="1" applyFill="1" applyAlignment="1">
      <alignment/>
    </xf>
    <xf numFmtId="0" fontId="47" fillId="35" borderId="0" xfId="0" applyFont="1" applyFill="1" applyAlignment="1">
      <alignment horizontal="left"/>
    </xf>
    <xf numFmtId="0" fontId="47" fillId="35" borderId="0" xfId="0" applyFont="1" applyFill="1" applyAlignment="1">
      <alignment horizontal="center"/>
    </xf>
    <xf numFmtId="49" fontId="47" fillId="35" borderId="0" xfId="0" applyNumberFormat="1" applyFont="1" applyFill="1" applyAlignment="1">
      <alignment horizontal="left"/>
    </xf>
    <xf numFmtId="0" fontId="54" fillId="34" borderId="0" xfId="0" applyFont="1" applyFill="1" applyAlignment="1">
      <alignment/>
    </xf>
    <xf numFmtId="0" fontId="47" fillId="34" borderId="0" xfId="0" applyFont="1" applyFill="1" applyAlignment="1">
      <alignment/>
    </xf>
    <xf numFmtId="14" fontId="54" fillId="34" borderId="0" xfId="0" applyNumberFormat="1" applyFont="1" applyFill="1" applyAlignment="1">
      <alignment/>
    </xf>
    <xf numFmtId="3" fontId="47" fillId="34" borderId="0" xfId="0" applyNumberFormat="1" applyFont="1" applyFill="1" applyAlignment="1">
      <alignment/>
    </xf>
    <xf numFmtId="3" fontId="40" fillId="0" borderId="64" xfId="0" applyNumberFormat="1" applyFont="1" applyBorder="1" applyAlignment="1">
      <alignment/>
    </xf>
    <xf numFmtId="3" fontId="38" fillId="0" borderId="73" xfId="0" applyNumberFormat="1" applyFont="1" applyBorder="1" applyAlignment="1">
      <alignment/>
    </xf>
    <xf numFmtId="3" fontId="38" fillId="0" borderId="36" xfId="0" applyNumberFormat="1" applyFont="1" applyBorder="1" applyAlignment="1">
      <alignment/>
    </xf>
    <xf numFmtId="3" fontId="38" fillId="0" borderId="3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74" xfId="0" applyBorder="1" applyAlignment="1">
      <alignment/>
    </xf>
    <xf numFmtId="0" fontId="0" fillId="0" borderId="26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3" fontId="0" fillId="0" borderId="76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17" xfId="0" applyBorder="1" applyAlignment="1">
      <alignment/>
    </xf>
    <xf numFmtId="3" fontId="0" fillId="0" borderId="78" xfId="0" applyNumberFormat="1" applyBorder="1" applyAlignment="1">
      <alignment/>
    </xf>
    <xf numFmtId="0" fontId="0" fillId="34" borderId="29" xfId="0" applyFill="1" applyBorder="1" applyAlignment="1">
      <alignment/>
    </xf>
    <xf numFmtId="0" fontId="0" fillId="34" borderId="51" xfId="0" applyFill="1" applyBorder="1" applyAlignment="1">
      <alignment/>
    </xf>
    <xf numFmtId="3" fontId="0" fillId="34" borderId="79" xfId="0" applyNumberFormat="1" applyFill="1" applyBorder="1" applyAlignment="1">
      <alignment/>
    </xf>
    <xf numFmtId="0" fontId="0" fillId="0" borderId="58" xfId="0" applyBorder="1" applyAlignment="1">
      <alignment/>
    </xf>
    <xf numFmtId="0" fontId="0" fillId="0" borderId="31" xfId="0" applyBorder="1" applyAlignment="1">
      <alignment horizontal="center"/>
    </xf>
    <xf numFmtId="3" fontId="0" fillId="0" borderId="31" xfId="0" applyNumberFormat="1" applyBorder="1" applyAlignment="1">
      <alignment/>
    </xf>
    <xf numFmtId="0" fontId="0" fillId="0" borderId="80" xfId="0" applyBorder="1" applyAlignment="1">
      <alignment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34" borderId="81" xfId="0" applyNumberFormat="1" applyFill="1" applyBorder="1" applyAlignment="1">
      <alignment/>
    </xf>
    <xf numFmtId="3" fontId="0" fillId="34" borderId="52" xfId="0" applyNumberFormat="1" applyFill="1" applyBorder="1" applyAlignment="1">
      <alignment/>
    </xf>
    <xf numFmtId="3" fontId="0" fillId="34" borderId="53" xfId="0" applyNumberFormat="1" applyFill="1" applyBorder="1" applyAlignment="1">
      <alignment/>
    </xf>
    <xf numFmtId="0" fontId="46" fillId="0" borderId="12" xfId="0" applyFont="1" applyBorder="1" applyAlignment="1">
      <alignment/>
    </xf>
    <xf numFmtId="0" fontId="55" fillId="0" borderId="55" xfId="0" applyFont="1" applyBorder="1" applyAlignment="1">
      <alignment/>
    </xf>
    <xf numFmtId="0" fontId="54" fillId="0" borderId="39" xfId="0" applyFont="1" applyBorder="1" applyAlignment="1">
      <alignment/>
    </xf>
    <xf numFmtId="0" fontId="55" fillId="36" borderId="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34" borderId="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34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47" fillId="0" borderId="39" xfId="0" applyFont="1" applyBorder="1" applyAlignment="1">
      <alignment/>
    </xf>
    <xf numFmtId="0" fontId="54" fillId="35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55" fillId="34" borderId="49" xfId="0" applyFont="1" applyFill="1" applyBorder="1" applyAlignment="1">
      <alignment/>
    </xf>
    <xf numFmtId="0" fontId="47" fillId="0" borderId="55" xfId="0" applyFont="1" applyBorder="1" applyAlignment="1">
      <alignment/>
    </xf>
    <xf numFmtId="0" fontId="55" fillId="36" borderId="49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51" xfId="0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0" fontId="54" fillId="0" borderId="64" xfId="0" applyFont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54" fillId="37" borderId="51" xfId="0" applyFont="1" applyFill="1" applyBorder="1" applyAlignment="1">
      <alignment/>
    </xf>
    <xf numFmtId="0" fontId="47" fillId="36" borderId="55" xfId="0" applyFont="1" applyFill="1" applyBorder="1" applyAlignment="1">
      <alignment/>
    </xf>
    <xf numFmtId="0" fontId="54" fillId="0" borderId="32" xfId="0" applyFont="1" applyBorder="1" applyAlignment="1">
      <alignment/>
    </xf>
    <xf numFmtId="0" fontId="54" fillId="0" borderId="17" xfId="0" applyFont="1" applyBorder="1" applyAlignment="1">
      <alignment/>
    </xf>
    <xf numFmtId="3" fontId="57" fillId="0" borderId="31" xfId="0" applyNumberFormat="1" applyFont="1" applyBorder="1" applyAlignment="1">
      <alignment/>
    </xf>
    <xf numFmtId="3" fontId="57" fillId="0" borderId="36" xfId="0" applyNumberFormat="1" applyFont="1" applyBorder="1" applyAlignment="1">
      <alignment/>
    </xf>
    <xf numFmtId="3" fontId="57" fillId="0" borderId="37" xfId="0" applyNumberFormat="1" applyFont="1" applyBorder="1" applyAlignment="1">
      <alignment/>
    </xf>
    <xf numFmtId="3" fontId="57" fillId="0" borderId="82" xfId="0" applyNumberFormat="1" applyFont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83" xfId="0" applyFont="1" applyFill="1" applyBorder="1" applyAlignment="1">
      <alignment/>
    </xf>
    <xf numFmtId="0" fontId="47" fillId="34" borderId="84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0" fontId="58" fillId="0" borderId="0" xfId="0" applyFont="1" applyAlignment="1">
      <alignment horizontal="center"/>
    </xf>
    <xf numFmtId="3" fontId="58" fillId="0" borderId="0" xfId="0" applyNumberFormat="1" applyFont="1" applyAlignment="1">
      <alignment horizontal="center"/>
    </xf>
    <xf numFmtId="1" fontId="47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55" xfId="0" applyFont="1" applyFill="1" applyBorder="1" applyAlignment="1">
      <alignment/>
    </xf>
    <xf numFmtId="0" fontId="5" fillId="0" borderId="55" xfId="0" applyFont="1" applyFill="1" applyBorder="1" applyAlignment="1">
      <alignment horizontal="left"/>
    </xf>
    <xf numFmtId="49" fontId="5" fillId="0" borderId="55" xfId="0" applyNumberFormat="1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" fontId="47" fillId="0" borderId="0" xfId="0" applyNumberFormat="1" applyFont="1" applyFill="1" applyAlignment="1">
      <alignment/>
    </xf>
    <xf numFmtId="0" fontId="54" fillId="0" borderId="15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49" fontId="54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4" fillId="0" borderId="11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  <xf numFmtId="49" fontId="54" fillId="0" borderId="10" xfId="0" applyNumberFormat="1" applyFont="1" applyFill="1" applyBorder="1" applyAlignment="1">
      <alignment horizontal="left"/>
    </xf>
    <xf numFmtId="0" fontId="54" fillId="0" borderId="10" xfId="0" applyFont="1" applyFill="1" applyBorder="1" applyAlignment="1">
      <alignment/>
    </xf>
    <xf numFmtId="2" fontId="47" fillId="0" borderId="10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2" fontId="54" fillId="0" borderId="1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2" fontId="55" fillId="34" borderId="0" xfId="0" applyNumberFormat="1" applyFont="1" applyFill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0" fontId="47" fillId="35" borderId="64" xfId="0" applyFont="1" applyFill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Font="1" applyAlignment="1">
      <alignment/>
    </xf>
    <xf numFmtId="0" fontId="38" fillId="35" borderId="0" xfId="0" applyFont="1" applyFill="1" applyAlignment="1">
      <alignment/>
    </xf>
    <xf numFmtId="0" fontId="38" fillId="35" borderId="0" xfId="0" applyFont="1" applyFill="1" applyAlignment="1">
      <alignment horizontal="left"/>
    </xf>
    <xf numFmtId="0" fontId="38" fillId="35" borderId="0" xfId="0" applyFont="1" applyFill="1" applyAlignment="1">
      <alignment horizontal="center"/>
    </xf>
    <xf numFmtId="49" fontId="38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6" fillId="0" borderId="30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49" fontId="46" fillId="0" borderId="12" xfId="0" applyNumberFormat="1" applyFont="1" applyBorder="1" applyAlignment="1">
      <alignment horizontal="left"/>
    </xf>
    <xf numFmtId="3" fontId="5" fillId="0" borderId="85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49" fontId="4" fillId="35" borderId="0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" fontId="5" fillId="35" borderId="0" xfId="0" applyNumberFormat="1" applyFont="1" applyFill="1" applyAlignment="1">
      <alignment/>
    </xf>
    <xf numFmtId="4" fontId="8" fillId="34" borderId="12" xfId="0" applyNumberFormat="1" applyFont="1" applyFill="1" applyBorder="1" applyAlignment="1">
      <alignment/>
    </xf>
    <xf numFmtId="9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0" fillId="34" borderId="0" xfId="0" applyFont="1" applyFill="1" applyAlignment="1">
      <alignment/>
    </xf>
    <xf numFmtId="0" fontId="38" fillId="34" borderId="0" xfId="0" applyFont="1" applyFill="1" applyAlignment="1">
      <alignment/>
    </xf>
    <xf numFmtId="14" fontId="40" fillId="34" borderId="0" xfId="0" applyNumberFormat="1" applyFont="1" applyFill="1" applyAlignment="1">
      <alignment/>
    </xf>
    <xf numFmtId="0" fontId="47" fillId="0" borderId="0" xfId="0" applyFont="1" applyAlignment="1">
      <alignment horizontal="right"/>
    </xf>
    <xf numFmtId="0" fontId="61" fillId="0" borderId="32" xfId="0" applyFont="1" applyBorder="1" applyAlignment="1">
      <alignment horizontal="right"/>
    </xf>
    <xf numFmtId="0" fontId="47" fillId="0" borderId="49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4" fillId="33" borderId="51" xfId="0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0" fontId="47" fillId="0" borderId="64" xfId="0" applyFont="1" applyBorder="1" applyAlignment="1">
      <alignment horizontal="right"/>
    </xf>
    <xf numFmtId="0" fontId="47" fillId="0" borderId="32" xfId="0" applyFont="1" applyBorder="1" applyAlignment="1">
      <alignment horizontal="right"/>
    </xf>
    <xf numFmtId="0" fontId="47" fillId="36" borderId="67" xfId="0" applyFont="1" applyFill="1" applyBorder="1" applyAlignment="1">
      <alignment horizontal="right"/>
    </xf>
    <xf numFmtId="0" fontId="47" fillId="35" borderId="0" xfId="0" applyFont="1" applyFill="1" applyAlignment="1">
      <alignment horizontal="right"/>
    </xf>
    <xf numFmtId="49" fontId="47" fillId="35" borderId="0" xfId="0" applyNumberFormat="1" applyFont="1" applyFill="1" applyAlignment="1">
      <alignment horizontal="right"/>
    </xf>
    <xf numFmtId="3" fontId="3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32" xfId="0" applyNumberFormat="1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33" borderId="51" xfId="0" applyNumberFormat="1" applyFont="1" applyFill="1" applyBorder="1" applyAlignment="1">
      <alignment horizontal="right"/>
    </xf>
    <xf numFmtId="3" fontId="5" fillId="33" borderId="51" xfId="0" applyNumberFormat="1" applyFont="1" applyFill="1" applyBorder="1" applyAlignment="1">
      <alignment horizontal="right"/>
    </xf>
    <xf numFmtId="3" fontId="5" fillId="0" borderId="86" xfId="0" applyNumberFormat="1" applyFont="1" applyBorder="1" applyAlignment="1">
      <alignment horizontal="right"/>
    </xf>
    <xf numFmtId="3" fontId="5" fillId="0" borderId="87" xfId="0" applyNumberFormat="1" applyFont="1" applyBorder="1" applyAlignment="1">
      <alignment horizontal="right"/>
    </xf>
    <xf numFmtId="3" fontId="4" fillId="33" borderId="88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59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4" fillId="33" borderId="53" xfId="0" applyNumberFormat="1" applyFont="1" applyFill="1" applyBorder="1" applyAlignment="1">
      <alignment horizontal="right"/>
    </xf>
    <xf numFmtId="3" fontId="5" fillId="33" borderId="53" xfId="0" applyNumberFormat="1" applyFont="1" applyFill="1" applyBorder="1" applyAlignment="1">
      <alignment horizontal="right"/>
    </xf>
    <xf numFmtId="3" fontId="5" fillId="0" borderId="73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5" fillId="0" borderId="68" xfId="0" applyFont="1" applyBorder="1" applyAlignment="1">
      <alignment horizontal="center"/>
    </xf>
    <xf numFmtId="0" fontId="19" fillId="0" borderId="65" xfId="0" applyFont="1" applyBorder="1" applyAlignment="1">
      <alignment/>
    </xf>
    <xf numFmtId="0" fontId="47" fillId="0" borderId="65" xfId="0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69" xfId="0" applyNumberFormat="1" applyFont="1" applyBorder="1" applyAlignment="1">
      <alignment horizontal="right"/>
    </xf>
    <xf numFmtId="0" fontId="5" fillId="0" borderId="60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47" fillId="0" borderId="17" xfId="0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62" xfId="0" applyNumberFormat="1" applyFont="1" applyBorder="1" applyAlignment="1">
      <alignment horizontal="right"/>
    </xf>
    <xf numFmtId="2" fontId="47" fillId="0" borderId="17" xfId="0" applyNumberFormat="1" applyFont="1" applyBorder="1" applyAlignment="1">
      <alignment horizontal="right"/>
    </xf>
    <xf numFmtId="0" fontId="20" fillId="0" borderId="48" xfId="0" applyFont="1" applyBorder="1" applyAlignment="1">
      <alignment/>
    </xf>
    <xf numFmtId="0" fontId="20" fillId="0" borderId="29" xfId="0" applyFont="1" applyBorder="1" applyAlignment="1">
      <alignment/>
    </xf>
    <xf numFmtId="0" fontId="19" fillId="0" borderId="32" xfId="0" applyFont="1" applyBorder="1" applyAlignment="1">
      <alignment/>
    </xf>
    <xf numFmtId="3" fontId="5" fillId="0" borderId="89" xfId="0" applyNumberFormat="1" applyFont="1" applyBorder="1" applyAlignment="1">
      <alignment horizontal="right"/>
    </xf>
    <xf numFmtId="0" fontId="47" fillId="0" borderId="51" xfId="0" applyFont="1" applyBorder="1" applyAlignment="1">
      <alignment horizontal="right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61" fillId="0" borderId="55" xfId="0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 horizontal="right"/>
    </xf>
    <xf numFmtId="0" fontId="5" fillId="0" borderId="29" xfId="0" applyFont="1" applyBorder="1" applyAlignment="1">
      <alignment/>
    </xf>
    <xf numFmtId="0" fontId="4" fillId="0" borderId="51" xfId="0" applyFont="1" applyBorder="1" applyAlignment="1">
      <alignment/>
    </xf>
    <xf numFmtId="3" fontId="5" fillId="0" borderId="53" xfId="0" applyNumberFormat="1" applyFont="1" applyBorder="1" applyAlignment="1">
      <alignment/>
    </xf>
    <xf numFmtId="2" fontId="54" fillId="0" borderId="51" xfId="0" applyNumberFormat="1" applyFont="1" applyBorder="1" applyAlignment="1">
      <alignment/>
    </xf>
    <xf numFmtId="0" fontId="5" fillId="0" borderId="90" xfId="0" applyFont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0" borderId="91" xfId="0" applyFont="1" applyBorder="1" applyAlignment="1">
      <alignment/>
    </xf>
    <xf numFmtId="0" fontId="5" fillId="0" borderId="9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0" borderId="93" xfId="0" applyFont="1" applyBorder="1" applyAlignment="1">
      <alignment/>
    </xf>
    <xf numFmtId="0" fontId="47" fillId="0" borderId="65" xfId="0" applyFont="1" applyBorder="1" applyAlignment="1">
      <alignment horizontal="center"/>
    </xf>
    <xf numFmtId="2" fontId="47" fillId="0" borderId="17" xfId="0" applyNumberFormat="1" applyFont="1" applyBorder="1" applyAlignment="1">
      <alignment/>
    </xf>
    <xf numFmtId="2" fontId="47" fillId="34" borderId="0" xfId="0" applyNumberFormat="1" applyFont="1" applyFill="1" applyBorder="1" applyAlignment="1">
      <alignment/>
    </xf>
    <xf numFmtId="2" fontId="47" fillId="34" borderId="17" xfId="0" applyNumberFormat="1" applyFont="1" applyFill="1" applyBorder="1" applyAlignment="1">
      <alignment/>
    </xf>
    <xf numFmtId="2" fontId="47" fillId="0" borderId="71" xfId="0" applyNumberFormat="1" applyFont="1" applyBorder="1" applyAlignment="1">
      <alignment/>
    </xf>
    <xf numFmtId="0" fontId="47" fillId="0" borderId="94" xfId="0" applyFont="1" applyBorder="1" applyAlignment="1">
      <alignment horizontal="center"/>
    </xf>
    <xf numFmtId="2" fontId="47" fillId="0" borderId="31" xfId="0" applyNumberFormat="1" applyFont="1" applyBorder="1" applyAlignment="1">
      <alignment/>
    </xf>
    <xf numFmtId="2" fontId="47" fillId="0" borderId="61" xfId="0" applyNumberFormat="1" applyFont="1" applyBorder="1" applyAlignment="1">
      <alignment/>
    </xf>
    <xf numFmtId="2" fontId="47" fillId="34" borderId="31" xfId="0" applyNumberFormat="1" applyFont="1" applyFill="1" applyBorder="1" applyAlignment="1">
      <alignment/>
    </xf>
    <xf numFmtId="2" fontId="47" fillId="34" borderId="61" xfId="0" applyNumberFormat="1" applyFont="1" applyFill="1" applyBorder="1" applyAlignment="1">
      <alignment/>
    </xf>
    <xf numFmtId="2" fontId="47" fillId="0" borderId="95" xfId="0" applyNumberFormat="1" applyFont="1" applyBorder="1" applyAlignment="1">
      <alignment/>
    </xf>
    <xf numFmtId="3" fontId="5" fillId="0" borderId="94" xfId="0" applyNumberFormat="1" applyFont="1" applyBorder="1" applyAlignment="1">
      <alignment horizontal="center"/>
    </xf>
    <xf numFmtId="3" fontId="5" fillId="0" borderId="61" xfId="0" applyNumberFormat="1" applyFont="1" applyBorder="1" applyAlignment="1">
      <alignment/>
    </xf>
    <xf numFmtId="3" fontId="5" fillId="34" borderId="61" xfId="0" applyNumberFormat="1" applyFont="1" applyFill="1" applyBorder="1" applyAlignment="1">
      <alignment/>
    </xf>
    <xf numFmtId="3" fontId="5" fillId="0" borderId="95" xfId="0" applyNumberFormat="1" applyFont="1" applyBorder="1" applyAlignment="1">
      <alignment/>
    </xf>
    <xf numFmtId="0" fontId="5" fillId="0" borderId="74" xfId="0" applyFont="1" applyBorder="1" applyAlignment="1">
      <alignment/>
    </xf>
    <xf numFmtId="0" fontId="54" fillId="35" borderId="26" xfId="0" applyFont="1" applyFill="1" applyBorder="1" applyAlignment="1">
      <alignment/>
    </xf>
    <xf numFmtId="3" fontId="5" fillId="35" borderId="96" xfId="0" applyNumberFormat="1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0" fontId="5" fillId="35" borderId="90" xfId="0" applyFont="1" applyFill="1" applyBorder="1" applyAlignment="1">
      <alignment/>
    </xf>
    <xf numFmtId="0" fontId="5" fillId="35" borderId="65" xfId="0" applyFont="1" applyFill="1" applyBorder="1" applyAlignment="1">
      <alignment/>
    </xf>
    <xf numFmtId="0" fontId="4" fillId="0" borderId="81" xfId="0" applyFont="1" applyBorder="1" applyAlignment="1">
      <alignment/>
    </xf>
    <xf numFmtId="0" fontId="5" fillId="35" borderId="92" xfId="0" applyFont="1" applyFill="1" applyBorder="1" applyAlignment="1">
      <alignment/>
    </xf>
    <xf numFmtId="0" fontId="4" fillId="0" borderId="97" xfId="0" applyFont="1" applyBorder="1" applyAlignment="1">
      <alignment/>
    </xf>
    <xf numFmtId="0" fontId="54" fillId="35" borderId="94" xfId="0" applyFont="1" applyFill="1" applyBorder="1" applyAlignment="1">
      <alignment/>
    </xf>
    <xf numFmtId="0" fontId="54" fillId="0" borderId="61" xfId="0" applyFont="1" applyBorder="1" applyAlignment="1">
      <alignment/>
    </xf>
    <xf numFmtId="2" fontId="54" fillId="0" borderId="52" xfId="0" applyNumberFormat="1" applyFont="1" applyBorder="1" applyAlignment="1">
      <alignment/>
    </xf>
    <xf numFmtId="3" fontId="5" fillId="35" borderId="94" xfId="0" applyNumberFormat="1" applyFont="1" applyFill="1" applyBorder="1" applyAlignment="1">
      <alignment/>
    </xf>
    <xf numFmtId="3" fontId="5" fillId="0" borderId="52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59" xfId="0" applyBorder="1" applyAlignment="1">
      <alignment/>
    </xf>
    <xf numFmtId="0" fontId="0" fillId="0" borderId="13" xfId="0" applyBorder="1" applyAlignment="1">
      <alignment/>
    </xf>
    <xf numFmtId="0" fontId="0" fillId="0" borderId="98" xfId="0" applyBorder="1" applyAlignment="1">
      <alignment horizontal="center"/>
    </xf>
    <xf numFmtId="0" fontId="0" fillId="0" borderId="96" xfId="0" applyBorder="1" applyAlignment="1">
      <alignment/>
    </xf>
    <xf numFmtId="0" fontId="0" fillId="0" borderId="61" xfId="0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49" fontId="4" fillId="34" borderId="0" xfId="0" applyNumberFormat="1" applyFont="1" applyFill="1" applyAlignment="1">
      <alignment horizontal="left"/>
    </xf>
    <xf numFmtId="14" fontId="4" fillId="34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62" fillId="0" borderId="5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34" borderId="0" xfId="0" applyFont="1" applyFill="1" applyAlignment="1">
      <alignment horizontal="right"/>
    </xf>
    <xf numFmtId="14" fontId="4" fillId="34" borderId="0" xfId="0" applyNumberFormat="1" applyFont="1" applyFill="1" applyAlignment="1">
      <alignment horizontal="left"/>
    </xf>
    <xf numFmtId="0" fontId="4" fillId="35" borderId="0" xfId="0" applyFont="1" applyFill="1" applyAlignment="1">
      <alignment/>
    </xf>
    <xf numFmtId="49" fontId="4" fillId="35" borderId="0" xfId="0" applyNumberFormat="1" applyFont="1" applyFill="1" applyAlignment="1">
      <alignment horizontal="left"/>
    </xf>
    <xf numFmtId="14" fontId="4" fillId="35" borderId="0" xfId="0" applyNumberFormat="1" applyFont="1" applyFill="1" applyAlignment="1">
      <alignment/>
    </xf>
    <xf numFmtId="3" fontId="4" fillId="35" borderId="26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34" borderId="0" xfId="0" applyNumberFormat="1" applyFont="1" applyFill="1" applyAlignment="1">
      <alignment/>
    </xf>
    <xf numFmtId="3" fontId="4" fillId="35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99" xfId="0" applyNumberFormat="1" applyFont="1" applyBorder="1" applyAlignment="1">
      <alignment horizontal="right"/>
    </xf>
    <xf numFmtId="4" fontId="5" fillId="0" borderId="55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00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8" fillId="36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8" fillId="34" borderId="49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8" fillId="36" borderId="49" xfId="0" applyNumberFormat="1" applyFont="1" applyFill="1" applyBorder="1" applyAlignment="1">
      <alignment/>
    </xf>
    <xf numFmtId="4" fontId="5" fillId="34" borderId="0" xfId="0" applyNumberFormat="1" applyFont="1" applyFill="1" applyAlignment="1">
      <alignment/>
    </xf>
    <xf numFmtId="4" fontId="5" fillId="35" borderId="0" xfId="0" applyNumberFormat="1" applyFont="1" applyFill="1" applyAlignment="1">
      <alignment/>
    </xf>
    <xf numFmtId="3" fontId="5" fillId="35" borderId="0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4" fillId="0" borderId="6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51" xfId="0" applyNumberFormat="1" applyFont="1" applyBorder="1" applyAlignment="1">
      <alignment horizontal="right"/>
    </xf>
    <xf numFmtId="3" fontId="4" fillId="0" borderId="7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62" xfId="0" applyNumberFormat="1" applyFont="1" applyBorder="1" applyAlignment="1">
      <alignment horizontal="right"/>
    </xf>
    <xf numFmtId="3" fontId="4" fillId="0" borderId="59" xfId="0" applyNumberFormat="1" applyFont="1" applyBorder="1" applyAlignment="1">
      <alignment horizontal="right"/>
    </xf>
    <xf numFmtId="3" fontId="4" fillId="36" borderId="101" xfId="0" applyNumberFormat="1" applyFont="1" applyFill="1" applyBorder="1" applyAlignment="1">
      <alignment horizontal="right"/>
    </xf>
    <xf numFmtId="0" fontId="4" fillId="35" borderId="0" xfId="0" applyFont="1" applyFill="1" applyAlignment="1">
      <alignment horizontal="right"/>
    </xf>
    <xf numFmtId="3" fontId="4" fillId="0" borderId="6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4" borderId="3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34" borderId="31" xfId="0" applyNumberFormat="1" applyFont="1" applyFill="1" applyBorder="1" applyAlignment="1">
      <alignment/>
    </xf>
    <xf numFmtId="3" fontId="4" fillId="0" borderId="82" xfId="0" applyNumberFormat="1" applyFont="1" applyBorder="1" applyAlignment="1">
      <alignment/>
    </xf>
    <xf numFmtId="3" fontId="4" fillId="35" borderId="36" xfId="0" applyNumberFormat="1" applyFont="1" applyFill="1" applyBorder="1" applyAlignment="1">
      <alignment/>
    </xf>
    <xf numFmtId="3" fontId="4" fillId="36" borderId="102" xfId="0" applyNumberFormat="1" applyFont="1" applyFill="1" applyBorder="1" applyAlignment="1">
      <alignment/>
    </xf>
    <xf numFmtId="3" fontId="4" fillId="0" borderId="10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37" borderId="8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35" borderId="0" xfId="0" applyFont="1" applyFill="1" applyAlignment="1">
      <alignment/>
    </xf>
    <xf numFmtId="0" fontId="2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56" fillId="0" borderId="35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56" fillId="0" borderId="40" xfId="0" applyFont="1" applyBorder="1" applyAlignment="1">
      <alignment horizontal="left"/>
    </xf>
    <xf numFmtId="14" fontId="4" fillId="34" borderId="0" xfId="0" applyNumberFormat="1" applyFont="1" applyFill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8" fillId="0" borderId="5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4" fillId="0" borderId="104" xfId="0" applyNumberFormat="1" applyFont="1" applyBorder="1" applyAlignment="1">
      <alignment horizontal="center"/>
    </xf>
    <xf numFmtId="2" fontId="4" fillId="0" borderId="55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4"/>
  <sheetViews>
    <sheetView zoomScalePageLayoutView="0" workbookViewId="0" topLeftCell="A16">
      <selection activeCell="G38" sqref="G38"/>
    </sheetView>
  </sheetViews>
  <sheetFormatPr defaultColWidth="9.140625" defaultRowHeight="15"/>
  <sheetData>
    <row r="20" spans="1:9" ht="33.75">
      <c r="A20" s="734" t="s">
        <v>658</v>
      </c>
      <c r="B20" s="734"/>
      <c r="C20" s="734"/>
      <c r="D20" s="734"/>
      <c r="E20" s="734"/>
      <c r="F20" s="734"/>
      <c r="G20" s="734"/>
      <c r="H20" s="734"/>
      <c r="I20" s="734"/>
    </row>
    <row r="22" spans="1:9" ht="31.5">
      <c r="A22" s="735" t="s">
        <v>26</v>
      </c>
      <c r="B22" s="735"/>
      <c r="C22" s="735"/>
      <c r="D22" s="735"/>
      <c r="E22" s="735"/>
      <c r="F22" s="735"/>
      <c r="G22" s="735"/>
      <c r="H22" s="735"/>
      <c r="I22" s="735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31.5">
      <c r="A24" s="735" t="s">
        <v>622</v>
      </c>
      <c r="B24" s="735"/>
      <c r="C24" s="735"/>
      <c r="D24" s="735"/>
      <c r="E24" s="735"/>
      <c r="F24" s="735"/>
      <c r="G24" s="735"/>
      <c r="H24" s="735"/>
      <c r="I24" s="735"/>
    </row>
  </sheetData>
  <sheetProtection/>
  <mergeCells count="3">
    <mergeCell ref="A20:I20"/>
    <mergeCell ref="A22:I22"/>
    <mergeCell ref="A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0.57421875" style="1" bestFit="1" customWidth="1"/>
    <col min="7" max="7" width="10.8515625" style="1" customWidth="1"/>
    <col min="8" max="8" width="10.57421875" style="668" bestFit="1" customWidth="1"/>
    <col min="9" max="10" width="10.57421875" style="16" bestFit="1" customWidth="1"/>
    <col min="11" max="11" width="31.421875" style="1" customWidth="1"/>
    <col min="12" max="12" width="8.28125" style="1" customWidth="1"/>
    <col min="13" max="13" width="12.421875" style="1" customWidth="1"/>
    <col min="14" max="14" width="3.8515625" style="1" customWidth="1"/>
    <col min="15" max="16384" width="9.140625" style="1" customWidth="1"/>
  </cols>
  <sheetData>
    <row r="1" spans="1:10" ht="31.5">
      <c r="A1" s="736" t="s">
        <v>391</v>
      </c>
      <c r="B1" s="736"/>
      <c r="C1" s="736"/>
      <c r="D1" s="736"/>
      <c r="E1" s="736"/>
      <c r="F1" s="736"/>
      <c r="G1" s="736"/>
      <c r="H1" s="736"/>
      <c r="I1" s="736"/>
      <c r="J1" s="736"/>
    </row>
    <row r="3" spans="1:10" ht="26.25">
      <c r="A3" s="737" t="s">
        <v>659</v>
      </c>
      <c r="B3" s="737"/>
      <c r="C3" s="737"/>
      <c r="D3" s="737"/>
      <c r="E3" s="737"/>
      <c r="F3" s="737"/>
      <c r="G3" s="737"/>
      <c r="H3" s="476">
        <v>2013</v>
      </c>
      <c r="I3" s="476">
        <f>H3+1</f>
        <v>2014</v>
      </c>
      <c r="J3" s="476">
        <f>H3+2</f>
        <v>2015</v>
      </c>
    </row>
    <row r="4" spans="1:10" ht="15">
      <c r="A4" s="24"/>
      <c r="B4" s="24"/>
      <c r="C4" s="24"/>
      <c r="D4" s="24"/>
      <c r="E4" s="24"/>
      <c r="F4" s="24"/>
      <c r="G4" s="24"/>
      <c r="I4" s="23"/>
      <c r="J4" s="23"/>
    </row>
    <row r="5" spans="1:10" ht="15">
      <c r="A5" s="24" t="s">
        <v>433</v>
      </c>
      <c r="B5" s="24"/>
      <c r="C5" s="24"/>
      <c r="D5" s="24"/>
      <c r="E5" s="24"/>
      <c r="F5" s="24"/>
      <c r="G5" s="24"/>
      <c r="I5" s="23"/>
      <c r="J5" s="33"/>
    </row>
    <row r="6" spans="1:10" ht="15">
      <c r="A6" s="24"/>
      <c r="B6" s="24"/>
      <c r="C6" s="24"/>
      <c r="D6" s="24"/>
      <c r="E6" s="24"/>
      <c r="F6" s="62" t="s">
        <v>500</v>
      </c>
      <c r="G6" s="62" t="s">
        <v>501</v>
      </c>
      <c r="H6" s="669"/>
      <c r="I6" s="33"/>
      <c r="J6" s="33"/>
    </row>
    <row r="7" spans="1:10" ht="15.75" thickBot="1">
      <c r="A7" s="24"/>
      <c r="B7" s="24"/>
      <c r="C7" s="24"/>
      <c r="D7" s="24"/>
      <c r="E7" s="24"/>
      <c r="F7" s="62" t="s">
        <v>548</v>
      </c>
      <c r="G7" s="62" t="s">
        <v>552</v>
      </c>
      <c r="I7" s="23"/>
      <c r="J7" s="23"/>
    </row>
    <row r="8" spans="1:10" ht="15">
      <c r="A8" s="347"/>
      <c r="B8" s="604" t="s">
        <v>7</v>
      </c>
      <c r="C8" s="323" t="s">
        <v>652</v>
      </c>
      <c r="D8" s="323"/>
      <c r="E8" s="608"/>
      <c r="F8" s="614">
        <v>2012</v>
      </c>
      <c r="G8" s="619">
        <v>2012</v>
      </c>
      <c r="H8" s="670">
        <f>H3</f>
        <v>2013</v>
      </c>
      <c r="I8" s="625">
        <f>I3</f>
        <v>2014</v>
      </c>
      <c r="J8" s="348">
        <f>J3</f>
        <v>2015</v>
      </c>
    </row>
    <row r="9" spans="1:13" ht="15">
      <c r="A9" s="95">
        <v>1</v>
      </c>
      <c r="B9" s="39" t="s">
        <v>366</v>
      </c>
      <c r="C9" s="10"/>
      <c r="D9" s="10"/>
      <c r="E9" s="609"/>
      <c r="F9" s="505">
        <f>'PR-10'!L105</f>
        <v>1808088.52</v>
      </c>
      <c r="G9" s="620">
        <f>'PR-10'!M105</f>
        <v>1829753.2000000002</v>
      </c>
      <c r="H9" s="15">
        <f>'PR-10'!N105</f>
        <v>1648283.03</v>
      </c>
      <c r="I9" s="98">
        <f>'PR-10'!O105</f>
        <v>1681248.6906</v>
      </c>
      <c r="J9" s="17">
        <f>'PR-10'!P105</f>
        <v>1714214.3512000002</v>
      </c>
      <c r="M9" s="16"/>
    </row>
    <row r="10" spans="1:10" ht="15">
      <c r="A10" s="299">
        <v>2</v>
      </c>
      <c r="B10" s="37" t="s">
        <v>359</v>
      </c>
      <c r="C10" s="32"/>
      <c r="D10" s="32"/>
      <c r="E10" s="610"/>
      <c r="F10" s="615">
        <f>'VÝD-10 Tab'!F26</f>
        <v>1019045.97</v>
      </c>
      <c r="G10" s="621">
        <f>'VÝD-10 Tab'!G26</f>
        <v>961254.05</v>
      </c>
      <c r="H10" s="666">
        <f>'VÝD-10 Tab'!H26</f>
        <v>916182</v>
      </c>
      <c r="I10" s="626">
        <f>'VÝD-10 Tab'!I26</f>
        <v>933281.32</v>
      </c>
      <c r="J10" s="349">
        <f>'VÝD-10 Tab'!J26</f>
        <v>950772.72</v>
      </c>
    </row>
    <row r="11" spans="1:10" ht="15">
      <c r="A11" s="309">
        <v>3</v>
      </c>
      <c r="B11" s="605" t="s">
        <v>392</v>
      </c>
      <c r="C11" s="310"/>
      <c r="D11" s="310"/>
      <c r="E11" s="611"/>
      <c r="F11" s="616">
        <f>F9-F10</f>
        <v>789042.55</v>
      </c>
      <c r="G11" s="622">
        <f>G9-G10</f>
        <v>868499.1500000001</v>
      </c>
      <c r="H11" s="255">
        <f>H9-H10</f>
        <v>732101.03</v>
      </c>
      <c r="I11" s="313">
        <f>I9-I10</f>
        <v>747967.3706000001</v>
      </c>
      <c r="J11" s="214">
        <f>J9-J10</f>
        <v>763441.6312000002</v>
      </c>
    </row>
    <row r="12" spans="1:10" ht="15">
      <c r="A12" s="299">
        <v>4</v>
      </c>
      <c r="B12" s="37" t="s">
        <v>365</v>
      </c>
      <c r="C12" s="32"/>
      <c r="D12" s="32"/>
      <c r="E12" s="610"/>
      <c r="F12" s="615">
        <f>'PR-10'!L109</f>
        <v>1695.95</v>
      </c>
      <c r="G12" s="621">
        <f>'PR-10'!M109</f>
        <v>7530.95</v>
      </c>
      <c r="H12" s="666">
        <f>'PR-10'!N109</f>
        <v>1000</v>
      </c>
      <c r="I12" s="626">
        <f>'PR-10'!O113</f>
        <v>0</v>
      </c>
      <c r="J12" s="349">
        <f>'PR-10'!P113</f>
        <v>0</v>
      </c>
    </row>
    <row r="13" spans="1:10" ht="15">
      <c r="A13" s="95">
        <v>5</v>
      </c>
      <c r="B13" s="39" t="s">
        <v>393</v>
      </c>
      <c r="C13" s="10"/>
      <c r="D13" s="10"/>
      <c r="E13" s="609"/>
      <c r="F13" s="505">
        <f>'VÝD-10 Tab'!F47</f>
        <v>343568</v>
      </c>
      <c r="G13" s="620">
        <f>'VÝD-10 Tab'!G47</f>
        <v>277673.55000000005</v>
      </c>
      <c r="H13" s="15">
        <f>'VÝD-10 Tab'!H47</f>
        <v>107700</v>
      </c>
      <c r="I13" s="98">
        <f>'VÝD-10 Tab'!I47</f>
        <v>91494</v>
      </c>
      <c r="J13" s="17">
        <f>'VÝD-10 Tab'!J47</f>
        <v>93288</v>
      </c>
    </row>
    <row r="14" spans="1:10" ht="15">
      <c r="A14" s="350">
        <v>6</v>
      </c>
      <c r="B14" s="606" t="s">
        <v>394</v>
      </c>
      <c r="C14" s="351"/>
      <c r="D14" s="351"/>
      <c r="E14" s="612"/>
      <c r="F14" s="617">
        <f>F12-F13</f>
        <v>-341872.05</v>
      </c>
      <c r="G14" s="623">
        <f>G12-G13</f>
        <v>-270142.60000000003</v>
      </c>
      <c r="H14" s="671">
        <f>H12-H13</f>
        <v>-106700</v>
      </c>
      <c r="I14" s="627">
        <f>I12-I13</f>
        <v>-91494</v>
      </c>
      <c r="J14" s="352">
        <f>J12-J13</f>
        <v>-93288</v>
      </c>
    </row>
    <row r="15" spans="1:10" ht="15">
      <c r="A15" s="95">
        <v>7</v>
      </c>
      <c r="B15" s="39" t="s">
        <v>409</v>
      </c>
      <c r="C15" s="10"/>
      <c r="D15" s="10"/>
      <c r="E15" s="609"/>
      <c r="F15" s="505">
        <f>'PR-10'!L114</f>
        <v>135800</v>
      </c>
      <c r="G15" s="620">
        <f>'PR-10'!M114</f>
        <v>135800</v>
      </c>
      <c r="H15" s="15">
        <v>0</v>
      </c>
      <c r="I15" s="98">
        <v>0</v>
      </c>
      <c r="J15" s="17">
        <v>0</v>
      </c>
    </row>
    <row r="16" spans="1:10" ht="15">
      <c r="A16" s="299">
        <v>8</v>
      </c>
      <c r="B16" s="37" t="s">
        <v>410</v>
      </c>
      <c r="C16" s="32"/>
      <c r="D16" s="32"/>
      <c r="E16" s="610"/>
      <c r="F16" s="615">
        <f>'VÝD-10 Tab'!F58</f>
        <v>73917</v>
      </c>
      <c r="G16" s="621">
        <f>'VÝD-10 Tab'!G58</f>
        <v>83057.10999999999</v>
      </c>
      <c r="H16" s="666">
        <f>'VÝD-10 Tab'!H58</f>
        <v>73917</v>
      </c>
      <c r="I16" s="626">
        <f>'VÝD-10 Tab'!I58</f>
        <v>73917</v>
      </c>
      <c r="J16" s="349">
        <f>'VÝD-10 Tab'!J58</f>
        <v>73917</v>
      </c>
    </row>
    <row r="17" spans="1:10" ht="15">
      <c r="A17" s="309">
        <v>9</v>
      </c>
      <c r="B17" s="605" t="s">
        <v>395</v>
      </c>
      <c r="C17" s="310"/>
      <c r="D17" s="310"/>
      <c r="E17" s="611"/>
      <c r="F17" s="616">
        <f>F15-F16</f>
        <v>61883</v>
      </c>
      <c r="G17" s="622">
        <f>G15-G16</f>
        <v>52742.890000000014</v>
      </c>
      <c r="H17" s="255">
        <f>H15-H16</f>
        <v>-73917</v>
      </c>
      <c r="I17" s="313">
        <f>I15-I16</f>
        <v>-73917</v>
      </c>
      <c r="J17" s="214">
        <f>J15-J16</f>
        <v>-73917</v>
      </c>
    </row>
    <row r="18" spans="1:12" ht="15.75" thickBot="1">
      <c r="A18" s="353">
        <v>10</v>
      </c>
      <c r="B18" s="607" t="s">
        <v>396</v>
      </c>
      <c r="C18" s="354"/>
      <c r="D18" s="354"/>
      <c r="E18" s="613"/>
      <c r="F18" s="618">
        <f>F11+F14+F17</f>
        <v>509053.50000000006</v>
      </c>
      <c r="G18" s="624">
        <f>G11+G14+G17</f>
        <v>651099.4400000001</v>
      </c>
      <c r="H18" s="672">
        <f>H9+H12-H10-H13-H16</f>
        <v>551484.03</v>
      </c>
      <c r="I18" s="628">
        <f>I9+I12+I15-I10-I13-I16</f>
        <v>582556.3706000001</v>
      </c>
      <c r="J18" s="355">
        <f>J9+J12+J15-J10-J13-J16</f>
        <v>596236.6312000002</v>
      </c>
      <c r="L18" s="16"/>
    </row>
    <row r="19" spans="1:12" ht="15.75" thickBot="1">
      <c r="A19" s="632"/>
      <c r="B19" s="633"/>
      <c r="C19" s="633" t="s">
        <v>653</v>
      </c>
      <c r="D19" s="633"/>
      <c r="E19" s="633"/>
      <c r="F19" s="633"/>
      <c r="G19" s="633"/>
      <c r="H19" s="673"/>
      <c r="I19" s="634"/>
      <c r="J19" s="635"/>
      <c r="L19" s="16"/>
    </row>
    <row r="20" spans="1:12" ht="15">
      <c r="A20" s="629">
        <v>1</v>
      </c>
      <c r="B20" s="636" t="s">
        <v>424</v>
      </c>
      <c r="C20" s="637" t="s">
        <v>431</v>
      </c>
      <c r="D20" s="637"/>
      <c r="E20" s="639"/>
      <c r="F20" s="630">
        <f>'VÝD-10'!L630</f>
        <v>312564.14999999997</v>
      </c>
      <c r="G20" s="641">
        <f>'VÝD-10'!M630</f>
        <v>312564.14999999997</v>
      </c>
      <c r="H20" s="665">
        <f>'VÝD-10'!N630</f>
        <v>322590</v>
      </c>
      <c r="I20" s="644">
        <f>'VÝD-10'!O630</f>
        <v>329041.8</v>
      </c>
      <c r="J20" s="631">
        <f>'VÝD-10'!P630</f>
        <v>335493.6</v>
      </c>
      <c r="L20" s="16"/>
    </row>
    <row r="21" spans="1:12" ht="15">
      <c r="A21" s="299">
        <v>2</v>
      </c>
      <c r="B21" s="37" t="s">
        <v>681</v>
      </c>
      <c r="C21" s="32"/>
      <c r="D21" s="32"/>
      <c r="E21" s="610"/>
      <c r="F21" s="462">
        <v>176170</v>
      </c>
      <c r="G21" s="642">
        <v>201676</v>
      </c>
      <c r="H21" s="666">
        <v>210000</v>
      </c>
      <c r="I21" s="626">
        <f>H21+H21*$O$623</f>
        <v>210000</v>
      </c>
      <c r="J21" s="349">
        <f>H21+H21*$P$623</f>
        <v>210000</v>
      </c>
      <c r="L21" s="16"/>
    </row>
    <row r="22" spans="1:12" ht="15">
      <c r="A22" s="299">
        <v>3</v>
      </c>
      <c r="B22" s="37" t="s">
        <v>607</v>
      </c>
      <c r="C22" s="32"/>
      <c r="D22" s="32"/>
      <c r="E22" s="610"/>
      <c r="F22" s="462">
        <v>0</v>
      </c>
      <c r="G22" s="642">
        <v>10672</v>
      </c>
      <c r="H22" s="666">
        <v>0</v>
      </c>
      <c r="I22" s="626">
        <f>H22+H22*$O$623</f>
        <v>0</v>
      </c>
      <c r="J22" s="349">
        <f>H22+H22*$P$623</f>
        <v>0</v>
      </c>
      <c r="L22" s="16"/>
    </row>
    <row r="23" spans="1:12" ht="15">
      <c r="A23" s="299">
        <v>4</v>
      </c>
      <c r="B23" s="37" t="s">
        <v>627</v>
      </c>
      <c r="C23" s="32"/>
      <c r="D23" s="32"/>
      <c r="E23" s="610"/>
      <c r="F23" s="462">
        <v>0</v>
      </c>
      <c r="G23" s="642">
        <v>0</v>
      </c>
      <c r="H23" s="666">
        <v>16000</v>
      </c>
      <c r="I23" s="626">
        <f>H23+H23*$O$623</f>
        <v>16000</v>
      </c>
      <c r="J23" s="349">
        <f>H23+H23*$P$623</f>
        <v>16000</v>
      </c>
      <c r="L23" s="16"/>
    </row>
    <row r="24" spans="1:12" ht="15.75" thickBot="1">
      <c r="A24" s="600"/>
      <c r="B24" s="638" t="s">
        <v>654</v>
      </c>
      <c r="C24" s="601"/>
      <c r="D24" s="601"/>
      <c r="E24" s="640"/>
      <c r="F24" s="603">
        <f>F18-F20-F21-F22-F23</f>
        <v>20319.350000000093</v>
      </c>
      <c r="G24" s="643">
        <f>G18-G20-G21-G22-G23</f>
        <v>126187.2900000001</v>
      </c>
      <c r="H24" s="667">
        <f>H18-H20-H21-H22-H23</f>
        <v>2894.030000000028</v>
      </c>
      <c r="I24" s="645">
        <f>I20-I21-I22-I23</f>
        <v>103041.79999999999</v>
      </c>
      <c r="J24" s="602">
        <f>J18-J20-J21-J22-J23</f>
        <v>34743.0312000002</v>
      </c>
      <c r="L24" s="16"/>
    </row>
    <row r="25" spans="1:10" ht="15">
      <c r="A25" s="24" t="s">
        <v>624</v>
      </c>
      <c r="B25" s="24"/>
      <c r="C25" s="24"/>
      <c r="D25" s="24"/>
      <c r="E25" s="24"/>
      <c r="F25" s="24"/>
      <c r="G25" s="24"/>
      <c r="I25" s="23"/>
      <c r="J25" s="23"/>
    </row>
    <row r="26" spans="1:10" ht="15">
      <c r="A26" s="24" t="s">
        <v>480</v>
      </c>
      <c r="B26" s="24"/>
      <c r="C26" s="24"/>
      <c r="D26" s="24"/>
      <c r="E26" s="24"/>
      <c r="F26" s="24"/>
      <c r="G26" s="24"/>
      <c r="I26" s="23"/>
      <c r="J26" s="23"/>
    </row>
    <row r="27" spans="1:10" ht="15">
      <c r="A27" s="518" t="s">
        <v>676</v>
      </c>
      <c r="B27" s="518"/>
      <c r="C27" s="518"/>
      <c r="D27" s="518"/>
      <c r="E27" s="518"/>
      <c r="H27" s="518"/>
      <c r="I27" s="1"/>
      <c r="J27" s="1"/>
    </row>
    <row r="28" spans="1:10" ht="15">
      <c r="A28" s="652" t="s">
        <v>671</v>
      </c>
      <c r="B28" s="652"/>
      <c r="C28" s="652"/>
      <c r="D28" s="652"/>
      <c r="E28" s="652"/>
      <c r="F28" s="653"/>
      <c r="G28" s="24"/>
      <c r="H28" s="518"/>
      <c r="I28" s="24"/>
      <c r="J28" s="24"/>
    </row>
    <row r="29" spans="1:10" ht="15">
      <c r="A29" s="652" t="s">
        <v>397</v>
      </c>
      <c r="B29" s="652"/>
      <c r="C29" s="652"/>
      <c r="D29" s="652"/>
      <c r="E29" s="652"/>
      <c r="F29" s="653"/>
      <c r="G29" s="24"/>
      <c r="H29" s="518"/>
      <c r="I29" s="24"/>
      <c r="J29" s="24"/>
    </row>
    <row r="30" spans="1:10" ht="15">
      <c r="A30" s="652" t="s">
        <v>441</v>
      </c>
      <c r="B30" s="654" t="s">
        <v>672</v>
      </c>
      <c r="C30" s="652"/>
      <c r="D30" s="652"/>
      <c r="E30" s="652"/>
      <c r="F30" s="653"/>
      <c r="G30" s="24"/>
      <c r="H30" s="518"/>
      <c r="I30" s="24"/>
      <c r="J30" s="24"/>
    </row>
    <row r="31" spans="1:10" ht="15">
      <c r="A31" s="652" t="s">
        <v>673</v>
      </c>
      <c r="B31" s="655"/>
      <c r="C31" s="652"/>
      <c r="D31" s="652"/>
      <c r="E31" s="652"/>
      <c r="F31" s="653"/>
      <c r="G31" s="24"/>
      <c r="H31" s="518"/>
      <c r="I31" s="24"/>
      <c r="J31" s="24"/>
    </row>
    <row r="32" spans="1:10" ht="15">
      <c r="A32" s="396"/>
      <c r="B32" s="398"/>
      <c r="C32" s="396"/>
      <c r="D32" s="396"/>
      <c r="E32" s="396"/>
      <c r="F32" s="396"/>
      <c r="G32" s="397"/>
      <c r="H32" s="674"/>
      <c r="I32" s="399"/>
      <c r="J32" s="399"/>
    </row>
    <row r="33" spans="1:10" ht="15">
      <c r="A33" s="391"/>
      <c r="B33" s="391"/>
      <c r="C33" s="391"/>
      <c r="D33" s="391"/>
      <c r="E33" s="391"/>
      <c r="F33" s="391"/>
      <c r="G33" s="391"/>
      <c r="H33" s="675"/>
      <c r="I33" s="392"/>
      <c r="J33" s="392"/>
    </row>
    <row r="34" spans="1:10" ht="15">
      <c r="A34" s="391"/>
      <c r="B34" s="391"/>
      <c r="C34" s="391"/>
      <c r="D34" s="391"/>
      <c r="E34" s="391"/>
      <c r="F34" s="391"/>
      <c r="G34" s="391"/>
      <c r="H34" s="675"/>
      <c r="I34" s="392"/>
      <c r="J34" s="392"/>
    </row>
  </sheetData>
  <sheetProtection/>
  <mergeCells count="2">
    <mergeCell ref="A1:J1"/>
    <mergeCell ref="A3:G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44"/>
  <sheetViews>
    <sheetView zoomScalePageLayoutView="0" workbookViewId="0" topLeftCell="B193">
      <selection activeCell="J645" sqref="J645"/>
    </sheetView>
  </sheetViews>
  <sheetFormatPr defaultColWidth="9.140625" defaultRowHeight="15"/>
  <cols>
    <col min="1" max="1" width="3.421875" style="61" customWidth="1"/>
    <col min="2" max="2" width="3.7109375" style="62" customWidth="1"/>
    <col min="3" max="3" width="3.421875" style="61" customWidth="1"/>
    <col min="4" max="4" width="4.421875" style="61" customWidth="1"/>
    <col min="5" max="5" width="5.421875" style="61" customWidth="1"/>
    <col min="6" max="6" width="4.7109375" style="63" customWidth="1"/>
    <col min="7" max="7" width="3.57421875" style="1" customWidth="1"/>
    <col min="8" max="11" width="9.140625" style="1" customWidth="1"/>
    <col min="12" max="12" width="10.140625" style="1" customWidth="1"/>
    <col min="13" max="13" width="10.421875" style="1" customWidth="1"/>
    <col min="14" max="14" width="11.8515625" style="676" bestFit="1" customWidth="1"/>
    <col min="15" max="16" width="10.140625" style="16" bestFit="1" customWidth="1"/>
    <col min="17" max="17" width="9.140625" style="1" customWidth="1"/>
    <col min="18" max="18" width="10.00390625" style="24" bestFit="1" customWidth="1"/>
    <col min="19" max="19" width="9.140625" style="1" customWidth="1"/>
    <col min="20" max="20" width="10.00390625" style="1" bestFit="1" customWidth="1"/>
    <col min="21" max="21" width="12.57421875" style="59" bestFit="1" customWidth="1"/>
    <col min="22" max="16384" width="9.140625" style="1" customWidth="1"/>
  </cols>
  <sheetData>
    <row r="1" spans="1:16" ht="26.25">
      <c r="A1" s="752" t="s">
        <v>660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</row>
    <row r="2" spans="1:18" ht="15">
      <c r="A2" s="25"/>
      <c r="B2" s="26"/>
      <c r="C2" s="25"/>
      <c r="D2" s="25"/>
      <c r="E2" s="25"/>
      <c r="F2" s="28"/>
      <c r="G2" s="24"/>
      <c r="H2" s="24"/>
      <c r="I2" s="24"/>
      <c r="J2" s="24"/>
      <c r="K2" s="24"/>
      <c r="O2" s="23"/>
      <c r="P2" s="23"/>
      <c r="R2" s="24" t="s">
        <v>687</v>
      </c>
    </row>
    <row r="3" spans="1:21" s="53" customFormat="1" ht="15">
      <c r="A3" s="50"/>
      <c r="B3" s="51"/>
      <c r="C3" s="50"/>
      <c r="D3" s="50"/>
      <c r="E3" s="50"/>
      <c r="F3" s="52"/>
      <c r="N3" s="677"/>
      <c r="O3" s="54"/>
      <c r="P3" s="54"/>
      <c r="R3" s="518"/>
      <c r="U3" s="60"/>
    </row>
    <row r="6" spans="13:16" ht="15.75" thickBot="1">
      <c r="M6" s="391"/>
      <c r="O6" s="331">
        <v>0.02</v>
      </c>
      <c r="P6" s="331">
        <v>0.04</v>
      </c>
    </row>
    <row r="7" spans="1:16" ht="15">
      <c r="A7" s="64"/>
      <c r="B7" s="381"/>
      <c r="C7" s="101" t="s">
        <v>417</v>
      </c>
      <c r="D7" s="101"/>
      <c r="E7" s="101"/>
      <c r="F7" s="382"/>
      <c r="G7" s="103"/>
      <c r="H7" s="103"/>
      <c r="I7" s="103"/>
      <c r="J7" s="103"/>
      <c r="K7" s="103"/>
      <c r="L7" s="452" t="s">
        <v>500</v>
      </c>
      <c r="M7" s="452" t="s">
        <v>501</v>
      </c>
      <c r="N7" s="756" t="s">
        <v>661</v>
      </c>
      <c r="O7" s="757"/>
      <c r="P7" s="758"/>
    </row>
    <row r="8" spans="1:16" ht="15.75" thickBot="1">
      <c r="A8" s="65"/>
      <c r="B8" s="383"/>
      <c r="C8" s="384"/>
      <c r="D8" s="384"/>
      <c r="E8" s="384"/>
      <c r="F8" s="385"/>
      <c r="G8" s="320"/>
      <c r="H8" s="320"/>
      <c r="I8" s="320"/>
      <c r="J8" s="320"/>
      <c r="K8" s="320"/>
      <c r="L8" s="453">
        <v>2012</v>
      </c>
      <c r="M8" s="453" t="s">
        <v>502</v>
      </c>
      <c r="N8" s="678" t="s">
        <v>442</v>
      </c>
      <c r="O8" s="386" t="s">
        <v>446</v>
      </c>
      <c r="P8" s="322" t="s">
        <v>515</v>
      </c>
    </row>
    <row r="9" spans="1:16" ht="15">
      <c r="A9" s="390">
        <v>1</v>
      </c>
      <c r="B9" s="753" t="s">
        <v>24</v>
      </c>
      <c r="C9" s="753"/>
      <c r="D9" s="753"/>
      <c r="E9" s="753"/>
      <c r="F9" s="387" t="s">
        <v>50</v>
      </c>
      <c r="G9" s="337"/>
      <c r="H9" s="337"/>
      <c r="I9" s="337"/>
      <c r="J9" s="337"/>
      <c r="K9" s="337"/>
      <c r="L9" s="436"/>
      <c r="M9" s="436"/>
      <c r="N9" s="679"/>
      <c r="O9" s="338"/>
      <c r="P9" s="339"/>
    </row>
    <row r="10" spans="1:16" ht="15">
      <c r="A10" s="132" t="s">
        <v>0</v>
      </c>
      <c r="B10" s="7" t="s">
        <v>1</v>
      </c>
      <c r="C10" s="55" t="s">
        <v>2</v>
      </c>
      <c r="D10" s="55" t="s">
        <v>3</v>
      </c>
      <c r="E10" s="55" t="s">
        <v>4</v>
      </c>
      <c r="F10" s="8" t="s">
        <v>5</v>
      </c>
      <c r="G10" s="9" t="s">
        <v>6</v>
      </c>
      <c r="H10" s="9" t="s">
        <v>7</v>
      </c>
      <c r="I10" s="9"/>
      <c r="J10" s="9"/>
      <c r="K10" s="9"/>
      <c r="L10" s="46"/>
      <c r="M10" s="46"/>
      <c r="N10" s="519"/>
      <c r="O10" s="11"/>
      <c r="P10" s="18"/>
    </row>
    <row r="11" spans="1:16" ht="15">
      <c r="A11" s="132">
        <v>1</v>
      </c>
      <c r="B11" s="7">
        <v>1</v>
      </c>
      <c r="C11" s="55" t="s">
        <v>25</v>
      </c>
      <c r="D11" s="55"/>
      <c r="E11" s="55"/>
      <c r="F11" s="8"/>
      <c r="G11" s="5" t="s">
        <v>51</v>
      </c>
      <c r="H11" s="9"/>
      <c r="I11" s="9"/>
      <c r="J11" s="9"/>
      <c r="K11" s="9"/>
      <c r="L11" s="46"/>
      <c r="M11" s="46"/>
      <c r="N11" s="680" t="s">
        <v>343</v>
      </c>
      <c r="O11" s="388" t="s">
        <v>343</v>
      </c>
      <c r="P11" s="389" t="s">
        <v>343</v>
      </c>
    </row>
    <row r="12" spans="1:20" ht="15">
      <c r="A12" s="106">
        <v>1</v>
      </c>
      <c r="B12" s="107">
        <v>1</v>
      </c>
      <c r="C12" s="96">
        <v>1</v>
      </c>
      <c r="D12" s="96">
        <v>41</v>
      </c>
      <c r="E12" s="96">
        <v>611</v>
      </c>
      <c r="F12" s="108"/>
      <c r="G12" s="10"/>
      <c r="H12" s="10" t="s">
        <v>8</v>
      </c>
      <c r="I12" s="10"/>
      <c r="J12" s="10"/>
      <c r="K12" s="10"/>
      <c r="L12" s="56">
        <v>25700</v>
      </c>
      <c r="M12" s="56">
        <v>25170.36</v>
      </c>
      <c r="N12" s="539">
        <v>25700</v>
      </c>
      <c r="O12" s="11">
        <f>N12+N12*$O$6</f>
        <v>26214</v>
      </c>
      <c r="P12" s="18">
        <f>N12+N12*$P$6</f>
        <v>26728</v>
      </c>
      <c r="T12" s="76"/>
    </row>
    <row r="13" spans="1:16" ht="15">
      <c r="A13" s="132"/>
      <c r="B13" s="7"/>
      <c r="C13" s="55"/>
      <c r="D13" s="55"/>
      <c r="E13" s="55">
        <v>614</v>
      </c>
      <c r="F13" s="8"/>
      <c r="G13" s="9"/>
      <c r="H13" s="9" t="s">
        <v>9</v>
      </c>
      <c r="I13" s="9"/>
      <c r="J13" s="9"/>
      <c r="K13" s="9"/>
      <c r="L13" s="46"/>
      <c r="M13" s="46"/>
      <c r="N13" s="519">
        <v>0</v>
      </c>
      <c r="O13" s="11">
        <f aca="true" t="shared" si="0" ref="O13:O27">N13+N13*$O$6</f>
        <v>0</v>
      </c>
      <c r="P13" s="18">
        <f aca="true" t="shared" si="1" ref="P13:P27">N13+N13*$P$6</f>
        <v>0</v>
      </c>
    </row>
    <row r="14" spans="1:16" ht="15">
      <c r="A14" s="106"/>
      <c r="B14" s="107"/>
      <c r="C14" s="96"/>
      <c r="D14" s="96"/>
      <c r="E14" s="96">
        <v>621</v>
      </c>
      <c r="F14" s="108"/>
      <c r="G14" s="10"/>
      <c r="H14" s="10" t="s">
        <v>14</v>
      </c>
      <c r="I14" s="10"/>
      <c r="J14" s="10"/>
      <c r="K14" s="10"/>
      <c r="L14" s="56">
        <v>2570</v>
      </c>
      <c r="M14" s="56">
        <v>2453.12</v>
      </c>
      <c r="N14" s="681">
        <f>(N12+N13)*10%</f>
        <v>2570</v>
      </c>
      <c r="O14" s="110">
        <f t="shared" si="0"/>
        <v>2621.4</v>
      </c>
      <c r="P14" s="18">
        <f t="shared" si="1"/>
        <v>2672.8</v>
      </c>
    </row>
    <row r="15" spans="1:16" ht="15">
      <c r="A15" s="132"/>
      <c r="B15" s="7"/>
      <c r="C15" s="55"/>
      <c r="D15" s="55"/>
      <c r="E15" s="55">
        <v>625</v>
      </c>
      <c r="F15" s="8" t="s">
        <v>10</v>
      </c>
      <c r="G15" s="9"/>
      <c r="H15" s="9" t="s">
        <v>15</v>
      </c>
      <c r="I15" s="9"/>
      <c r="J15" s="9"/>
      <c r="K15" s="9"/>
      <c r="L15" s="46">
        <v>360</v>
      </c>
      <c r="M15" s="46">
        <v>193.17</v>
      </c>
      <c r="N15" s="682">
        <v>360</v>
      </c>
      <c r="O15" s="12">
        <f t="shared" si="0"/>
        <v>367.2</v>
      </c>
      <c r="P15" s="22">
        <f t="shared" si="1"/>
        <v>374.4</v>
      </c>
    </row>
    <row r="16" spans="1:16" ht="15">
      <c r="A16" s="106"/>
      <c r="B16" s="107"/>
      <c r="C16" s="96"/>
      <c r="D16" s="96"/>
      <c r="E16" s="96">
        <v>625</v>
      </c>
      <c r="F16" s="108" t="s">
        <v>11</v>
      </c>
      <c r="G16" s="10"/>
      <c r="H16" s="10" t="s">
        <v>16</v>
      </c>
      <c r="I16" s="10"/>
      <c r="J16" s="10"/>
      <c r="K16" s="10"/>
      <c r="L16" s="56">
        <v>3598</v>
      </c>
      <c r="M16" s="56">
        <v>3460.56</v>
      </c>
      <c r="N16" s="539">
        <f>(N12+N13)*14%</f>
        <v>3598.0000000000005</v>
      </c>
      <c r="O16" s="13">
        <f t="shared" si="0"/>
        <v>3669.9600000000005</v>
      </c>
      <c r="P16" s="17">
        <f t="shared" si="1"/>
        <v>3741.9200000000005</v>
      </c>
    </row>
    <row r="17" spans="1:16" ht="15">
      <c r="A17" s="132"/>
      <c r="B17" s="7"/>
      <c r="C17" s="55"/>
      <c r="D17" s="55"/>
      <c r="E17" s="55">
        <v>625</v>
      </c>
      <c r="F17" s="8" t="s">
        <v>12</v>
      </c>
      <c r="G17" s="9"/>
      <c r="H17" s="9" t="s">
        <v>17</v>
      </c>
      <c r="I17" s="9"/>
      <c r="J17" s="9"/>
      <c r="K17" s="9"/>
      <c r="L17" s="46">
        <v>206</v>
      </c>
      <c r="M17" s="46">
        <v>197.74</v>
      </c>
      <c r="N17" s="682">
        <v>201</v>
      </c>
      <c r="O17" s="11">
        <f t="shared" si="0"/>
        <v>205.02</v>
      </c>
      <c r="P17" s="18">
        <f t="shared" si="1"/>
        <v>209.04</v>
      </c>
    </row>
    <row r="18" spans="1:16" ht="15">
      <c r="A18" s="132"/>
      <c r="B18" s="7"/>
      <c r="C18" s="55"/>
      <c r="D18" s="55"/>
      <c r="E18" s="55">
        <v>625</v>
      </c>
      <c r="F18" s="8" t="s">
        <v>13</v>
      </c>
      <c r="G18" s="9"/>
      <c r="H18" s="9" t="s">
        <v>18</v>
      </c>
      <c r="I18" s="9"/>
      <c r="J18" s="9"/>
      <c r="K18" s="9"/>
      <c r="L18" s="46">
        <v>771</v>
      </c>
      <c r="M18" s="46">
        <v>741.54</v>
      </c>
      <c r="N18" s="519">
        <f>(N12+N13)*3%</f>
        <v>771</v>
      </c>
      <c r="O18" s="11">
        <f t="shared" si="0"/>
        <v>786.42</v>
      </c>
      <c r="P18" s="18">
        <f t="shared" si="1"/>
        <v>801.84</v>
      </c>
    </row>
    <row r="19" spans="1:18" ht="15">
      <c r="A19" s="106"/>
      <c r="B19" s="107"/>
      <c r="C19" s="96"/>
      <c r="D19" s="96"/>
      <c r="E19" s="96">
        <v>625</v>
      </c>
      <c r="F19" s="108" t="s">
        <v>19</v>
      </c>
      <c r="G19" s="10"/>
      <c r="H19" s="10" t="s">
        <v>20</v>
      </c>
      <c r="I19" s="10"/>
      <c r="J19" s="10"/>
      <c r="K19" s="10"/>
      <c r="L19" s="56">
        <v>257</v>
      </c>
      <c r="M19" s="56">
        <v>247.16</v>
      </c>
      <c r="N19" s="539">
        <f>(N12+N13)*1%</f>
        <v>257</v>
      </c>
      <c r="O19" s="11">
        <f t="shared" si="0"/>
        <v>262.14</v>
      </c>
      <c r="P19" s="18">
        <f t="shared" si="1"/>
        <v>267.28</v>
      </c>
      <c r="R19" s="27"/>
    </row>
    <row r="20" spans="1:16" ht="15">
      <c r="A20" s="132"/>
      <c r="B20" s="7"/>
      <c r="C20" s="55"/>
      <c r="D20" s="55"/>
      <c r="E20" s="55">
        <v>625</v>
      </c>
      <c r="F20" s="8" t="s">
        <v>21</v>
      </c>
      <c r="G20" s="9"/>
      <c r="H20" s="9" t="s">
        <v>22</v>
      </c>
      <c r="I20" s="9"/>
      <c r="J20" s="9"/>
      <c r="K20" s="9"/>
      <c r="L20" s="46">
        <v>1220</v>
      </c>
      <c r="M20" s="46">
        <v>1174.08</v>
      </c>
      <c r="N20" s="519">
        <v>1354</v>
      </c>
      <c r="O20" s="11">
        <f t="shared" si="0"/>
        <v>1381.08</v>
      </c>
      <c r="P20" s="18">
        <f t="shared" si="1"/>
        <v>1408.16</v>
      </c>
    </row>
    <row r="21" spans="1:16" ht="15">
      <c r="A21" s="132"/>
      <c r="B21" s="7"/>
      <c r="C21" s="55"/>
      <c r="D21" s="55"/>
      <c r="E21" s="55"/>
      <c r="F21" s="8"/>
      <c r="G21" s="9"/>
      <c r="H21" s="9"/>
      <c r="I21" s="9"/>
      <c r="J21" s="9"/>
      <c r="K21" s="9"/>
      <c r="L21" s="46"/>
      <c r="M21" s="46"/>
      <c r="N21" s="682"/>
      <c r="O21" s="11"/>
      <c r="P21" s="18"/>
    </row>
    <row r="22" spans="1:16" ht="15">
      <c r="A22" s="132"/>
      <c r="B22" s="7"/>
      <c r="C22" s="55"/>
      <c r="D22" s="55"/>
      <c r="E22" s="55">
        <v>631</v>
      </c>
      <c r="F22" s="8" t="s">
        <v>10</v>
      </c>
      <c r="G22" s="9"/>
      <c r="H22" s="9" t="s">
        <v>27</v>
      </c>
      <c r="I22" s="9"/>
      <c r="J22" s="9"/>
      <c r="K22" s="10"/>
      <c r="L22" s="56">
        <v>3400</v>
      </c>
      <c r="M22" s="56">
        <v>2552.05</v>
      </c>
      <c r="N22" s="539">
        <v>3000</v>
      </c>
      <c r="O22" s="13">
        <f t="shared" si="0"/>
        <v>3060</v>
      </c>
      <c r="P22" s="17">
        <f t="shared" si="1"/>
        <v>3120</v>
      </c>
    </row>
    <row r="23" spans="1:16" ht="15">
      <c r="A23" s="132"/>
      <c r="B23" s="7"/>
      <c r="C23" s="55"/>
      <c r="D23" s="55"/>
      <c r="E23" s="55">
        <v>632</v>
      </c>
      <c r="F23" s="8" t="s">
        <v>12</v>
      </c>
      <c r="G23" s="9"/>
      <c r="H23" s="9" t="s">
        <v>28</v>
      </c>
      <c r="I23" s="9"/>
      <c r="J23" s="9"/>
      <c r="K23" s="9"/>
      <c r="L23" s="46">
        <v>1000</v>
      </c>
      <c r="M23" s="46">
        <v>899.67</v>
      </c>
      <c r="N23" s="682">
        <v>900</v>
      </c>
      <c r="O23" s="11">
        <f t="shared" si="0"/>
        <v>918</v>
      </c>
      <c r="P23" s="18">
        <f t="shared" si="1"/>
        <v>936</v>
      </c>
    </row>
    <row r="24" spans="1:16" ht="15">
      <c r="A24" s="106"/>
      <c r="B24" s="107"/>
      <c r="C24" s="96"/>
      <c r="D24" s="96"/>
      <c r="E24" s="96">
        <v>633</v>
      </c>
      <c r="F24" s="108" t="s">
        <v>29</v>
      </c>
      <c r="G24" s="10"/>
      <c r="H24" s="10" t="s">
        <v>30</v>
      </c>
      <c r="I24" s="10"/>
      <c r="J24" s="10"/>
      <c r="K24" s="10"/>
      <c r="L24" s="56">
        <v>700</v>
      </c>
      <c r="M24" s="56">
        <v>167.64</v>
      </c>
      <c r="N24" s="539">
        <v>1700</v>
      </c>
      <c r="O24" s="701">
        <v>500</v>
      </c>
      <c r="P24" s="702">
        <v>550</v>
      </c>
    </row>
    <row r="25" spans="1:16" ht="15">
      <c r="A25" s="132"/>
      <c r="B25" s="7"/>
      <c r="C25" s="55"/>
      <c r="D25" s="55"/>
      <c r="E25" s="55">
        <v>633</v>
      </c>
      <c r="F25" s="8" t="s">
        <v>31</v>
      </c>
      <c r="G25" s="9"/>
      <c r="H25" s="9" t="s">
        <v>32</v>
      </c>
      <c r="I25" s="9"/>
      <c r="J25" s="9"/>
      <c r="K25" s="9"/>
      <c r="L25" s="46">
        <v>3000</v>
      </c>
      <c r="M25" s="46">
        <v>2153.43</v>
      </c>
      <c r="N25" s="693">
        <v>3000</v>
      </c>
      <c r="O25" s="110">
        <f t="shared" si="0"/>
        <v>3060</v>
      </c>
      <c r="P25" s="18">
        <f t="shared" si="1"/>
        <v>3120</v>
      </c>
    </row>
    <row r="26" spans="1:16" ht="15">
      <c r="A26" s="132"/>
      <c r="B26" s="7"/>
      <c r="C26" s="55"/>
      <c r="D26" s="55"/>
      <c r="E26" s="55">
        <v>633</v>
      </c>
      <c r="F26" s="8" t="s">
        <v>31</v>
      </c>
      <c r="G26" s="9"/>
      <c r="H26" s="9" t="s">
        <v>564</v>
      </c>
      <c r="I26" s="9"/>
      <c r="J26" s="9"/>
      <c r="K26" s="9"/>
      <c r="L26" s="46">
        <v>7000</v>
      </c>
      <c r="M26" s="46">
        <v>3734.45</v>
      </c>
      <c r="N26" s="693">
        <v>3500</v>
      </c>
      <c r="O26" s="110">
        <f>N26+N26*$O$6</f>
        <v>3570</v>
      </c>
      <c r="P26" s="18">
        <f>N26+N26*$P$6</f>
        <v>3640</v>
      </c>
    </row>
    <row r="27" spans="1:16" ht="15">
      <c r="A27" s="132"/>
      <c r="B27" s="7"/>
      <c r="C27" s="55"/>
      <c r="D27" s="55"/>
      <c r="E27" s="55">
        <v>637</v>
      </c>
      <c r="F27" s="8" t="s">
        <v>10</v>
      </c>
      <c r="G27" s="9"/>
      <c r="H27" s="9" t="s">
        <v>220</v>
      </c>
      <c r="I27" s="9"/>
      <c r="J27" s="9"/>
      <c r="K27" s="9"/>
      <c r="L27" s="46">
        <v>200</v>
      </c>
      <c r="M27" s="46">
        <v>0</v>
      </c>
      <c r="N27" s="519">
        <v>500</v>
      </c>
      <c r="O27" s="13">
        <f t="shared" si="0"/>
        <v>510</v>
      </c>
      <c r="P27" s="17">
        <f t="shared" si="1"/>
        <v>520</v>
      </c>
    </row>
    <row r="28" spans="1:16" ht="15">
      <c r="A28" s="6">
        <v>1</v>
      </c>
      <c r="B28" s="3">
        <v>1</v>
      </c>
      <c r="C28" s="523"/>
      <c r="D28" s="523"/>
      <c r="E28" s="523"/>
      <c r="F28" s="4"/>
      <c r="G28" s="5"/>
      <c r="H28" s="5" t="s">
        <v>342</v>
      </c>
      <c r="I28" s="5"/>
      <c r="J28" s="5"/>
      <c r="K28" s="5"/>
      <c r="L28" s="73">
        <f>SUM(L12:L27)</f>
        <v>49982</v>
      </c>
      <c r="M28" s="73">
        <f>SUM(M12:M27)</f>
        <v>43144.97</v>
      </c>
      <c r="N28" s="520">
        <f>SUM(N12:N27)</f>
        <v>47411</v>
      </c>
      <c r="O28" s="14">
        <f>SUM(O12:O27)</f>
        <v>47125.22</v>
      </c>
      <c r="P28" s="133">
        <f>SUM(P12:P27)</f>
        <v>48089.44</v>
      </c>
    </row>
    <row r="29" spans="1:17" ht="15">
      <c r="A29" s="6">
        <v>1</v>
      </c>
      <c r="B29" s="3">
        <v>2</v>
      </c>
      <c r="C29" s="523" t="s">
        <v>25</v>
      </c>
      <c r="D29" s="523"/>
      <c r="E29" s="523"/>
      <c r="F29" s="4"/>
      <c r="G29" s="5"/>
      <c r="H29" s="5" t="s">
        <v>35</v>
      </c>
      <c r="I29" s="5"/>
      <c r="J29" s="5"/>
      <c r="K29" s="5"/>
      <c r="L29" s="73"/>
      <c r="M29" s="73"/>
      <c r="N29" s="519"/>
      <c r="O29" s="361">
        <v>0.02</v>
      </c>
      <c r="P29" s="362">
        <v>0.04</v>
      </c>
      <c r="Q29" s="375">
        <v>0.1</v>
      </c>
    </row>
    <row r="30" spans="1:16" ht="15">
      <c r="A30" s="132">
        <v>1</v>
      </c>
      <c r="B30" s="7">
        <v>2</v>
      </c>
      <c r="C30" s="55">
        <v>1</v>
      </c>
      <c r="D30" s="55">
        <v>41</v>
      </c>
      <c r="E30" s="55">
        <v>611</v>
      </c>
      <c r="F30" s="8"/>
      <c r="G30" s="9"/>
      <c r="H30" s="9" t="s">
        <v>8</v>
      </c>
      <c r="I30" s="9"/>
      <c r="J30" s="9"/>
      <c r="K30" s="9"/>
      <c r="L30" s="46">
        <v>7788</v>
      </c>
      <c r="M30" s="46">
        <v>8300.57</v>
      </c>
      <c r="N30" s="519">
        <v>9000</v>
      </c>
      <c r="O30" s="519">
        <f>N30+N30*$O$29</f>
        <v>9180</v>
      </c>
      <c r="P30" s="18">
        <f>N30+N30*$P$29</f>
        <v>9360</v>
      </c>
    </row>
    <row r="31" spans="1:16" ht="15">
      <c r="A31" s="132"/>
      <c r="B31" s="7"/>
      <c r="C31" s="55"/>
      <c r="D31" s="55"/>
      <c r="E31" s="55">
        <v>614</v>
      </c>
      <c r="F31" s="8"/>
      <c r="G31" s="9"/>
      <c r="H31" s="9" t="s">
        <v>9</v>
      </c>
      <c r="I31" s="9"/>
      <c r="J31" s="9"/>
      <c r="K31" s="9"/>
      <c r="L31" s="46">
        <v>500</v>
      </c>
      <c r="M31" s="46">
        <v>550</v>
      </c>
      <c r="N31" s="519">
        <v>500</v>
      </c>
      <c r="O31" s="519">
        <f aca="true" t="shared" si="2" ref="O31:O42">N31+N31*$O$29</f>
        <v>510</v>
      </c>
      <c r="P31" s="18">
        <f aca="true" t="shared" si="3" ref="P31:P42">N31+N31*$P$29</f>
        <v>520</v>
      </c>
    </row>
    <row r="32" spans="1:16" ht="15">
      <c r="A32" s="132"/>
      <c r="B32" s="7"/>
      <c r="C32" s="55"/>
      <c r="D32" s="55"/>
      <c r="E32" s="55">
        <v>623</v>
      </c>
      <c r="F32" s="8"/>
      <c r="G32" s="9"/>
      <c r="H32" s="9" t="s">
        <v>14</v>
      </c>
      <c r="I32" s="9"/>
      <c r="J32" s="9"/>
      <c r="K32" s="9"/>
      <c r="L32" s="46">
        <v>770</v>
      </c>
      <c r="M32" s="46">
        <v>881.35</v>
      </c>
      <c r="N32" s="519">
        <f>(N30+N31)*10%</f>
        <v>950</v>
      </c>
      <c r="O32" s="519">
        <f t="shared" si="2"/>
        <v>969</v>
      </c>
      <c r="P32" s="18">
        <f t="shared" si="3"/>
        <v>988</v>
      </c>
    </row>
    <row r="33" spans="1:16" ht="15">
      <c r="A33" s="132"/>
      <c r="B33" s="7"/>
      <c r="C33" s="55"/>
      <c r="D33" s="55"/>
      <c r="E33" s="55">
        <v>625</v>
      </c>
      <c r="F33" s="8" t="s">
        <v>10</v>
      </c>
      <c r="G33" s="9"/>
      <c r="H33" s="9" t="s">
        <v>15</v>
      </c>
      <c r="I33" s="9"/>
      <c r="J33" s="9"/>
      <c r="K33" s="9"/>
      <c r="L33" s="46">
        <v>108</v>
      </c>
      <c r="M33" s="46">
        <v>120.59</v>
      </c>
      <c r="N33" s="519">
        <f>(N30+N31)*1.4%</f>
        <v>133</v>
      </c>
      <c r="O33" s="519">
        <f t="shared" si="2"/>
        <v>135.66</v>
      </c>
      <c r="P33" s="18">
        <f t="shared" si="3"/>
        <v>138.32</v>
      </c>
    </row>
    <row r="34" spans="1:18" ht="15">
      <c r="A34" s="132"/>
      <c r="B34" s="7"/>
      <c r="C34" s="55"/>
      <c r="D34" s="55"/>
      <c r="E34" s="55">
        <v>625</v>
      </c>
      <c r="F34" s="8" t="s">
        <v>11</v>
      </c>
      <c r="G34" s="9"/>
      <c r="H34" s="9" t="s">
        <v>16</v>
      </c>
      <c r="I34" s="9"/>
      <c r="J34" s="9"/>
      <c r="K34" s="9"/>
      <c r="L34" s="46">
        <v>1078</v>
      </c>
      <c r="M34" s="46">
        <v>1233.9</v>
      </c>
      <c r="N34" s="519">
        <f>(N30+N31)*14%</f>
        <v>1330.0000000000002</v>
      </c>
      <c r="O34" s="519">
        <f t="shared" si="2"/>
        <v>1356.6000000000001</v>
      </c>
      <c r="P34" s="18">
        <f t="shared" si="3"/>
        <v>1383.2000000000003</v>
      </c>
      <c r="R34" s="24" t="s">
        <v>688</v>
      </c>
    </row>
    <row r="35" spans="1:16" ht="15">
      <c r="A35" s="132"/>
      <c r="B35" s="156"/>
      <c r="C35" s="55"/>
      <c r="D35" s="55"/>
      <c r="E35" s="55">
        <v>625</v>
      </c>
      <c r="F35" s="8" t="s">
        <v>12</v>
      </c>
      <c r="G35" s="9"/>
      <c r="H35" s="9" t="s">
        <v>17</v>
      </c>
      <c r="I35" s="9"/>
      <c r="J35" s="9"/>
      <c r="K35" s="9"/>
      <c r="L35" s="46">
        <v>62</v>
      </c>
      <c r="M35" s="46">
        <v>71.25</v>
      </c>
      <c r="N35" s="519">
        <f>(N30+N31)*0.8%</f>
        <v>76</v>
      </c>
      <c r="O35" s="519">
        <f t="shared" si="2"/>
        <v>77.52</v>
      </c>
      <c r="P35" s="18">
        <f t="shared" si="3"/>
        <v>79.04</v>
      </c>
    </row>
    <row r="36" spans="1:16" ht="15">
      <c r="A36" s="157"/>
      <c r="B36" s="158"/>
      <c r="C36" s="118"/>
      <c r="D36" s="118"/>
      <c r="E36" s="118">
        <v>625</v>
      </c>
      <c r="F36" s="159" t="s">
        <v>13</v>
      </c>
      <c r="G36" s="117"/>
      <c r="H36" s="117" t="s">
        <v>18</v>
      </c>
      <c r="I36" s="117"/>
      <c r="J36" s="117"/>
      <c r="K36" s="117"/>
      <c r="L36" s="86">
        <v>0</v>
      </c>
      <c r="M36" s="86">
        <v>0</v>
      </c>
      <c r="N36" s="683">
        <f>(N30+N31)*3%</f>
        <v>285</v>
      </c>
      <c r="O36" s="519">
        <f t="shared" si="2"/>
        <v>290.7</v>
      </c>
      <c r="P36" s="18">
        <f t="shared" si="3"/>
        <v>296.4</v>
      </c>
    </row>
    <row r="37" spans="1:16" ht="15">
      <c r="A37" s="132"/>
      <c r="B37" s="7"/>
      <c r="C37" s="55"/>
      <c r="D37" s="55"/>
      <c r="E37" s="55">
        <v>625</v>
      </c>
      <c r="F37" s="8" t="s">
        <v>19</v>
      </c>
      <c r="G37" s="9"/>
      <c r="H37" s="9" t="s">
        <v>20</v>
      </c>
      <c r="I37" s="9"/>
      <c r="J37" s="9"/>
      <c r="K37" s="9"/>
      <c r="L37" s="46">
        <v>0</v>
      </c>
      <c r="M37" s="46">
        <v>0</v>
      </c>
      <c r="N37" s="519">
        <f>(N30+N31)*1%</f>
        <v>95</v>
      </c>
      <c r="O37" s="519">
        <f t="shared" si="2"/>
        <v>96.9</v>
      </c>
      <c r="P37" s="18">
        <f t="shared" si="3"/>
        <v>98.8</v>
      </c>
    </row>
    <row r="38" spans="1:16" ht="15">
      <c r="A38" s="106"/>
      <c r="B38" s="107"/>
      <c r="C38" s="96"/>
      <c r="D38" s="96"/>
      <c r="E38" s="96">
        <v>625</v>
      </c>
      <c r="F38" s="108" t="s">
        <v>21</v>
      </c>
      <c r="G38" s="10"/>
      <c r="H38" s="10" t="s">
        <v>22</v>
      </c>
      <c r="I38" s="10"/>
      <c r="J38" s="10"/>
      <c r="K38" s="10"/>
      <c r="L38" s="56">
        <v>366</v>
      </c>
      <c r="M38" s="56">
        <v>418.6</v>
      </c>
      <c r="N38" s="539">
        <v>452</v>
      </c>
      <c r="O38" s="519">
        <f t="shared" si="2"/>
        <v>461.04</v>
      </c>
      <c r="P38" s="18">
        <f t="shared" si="3"/>
        <v>470.08</v>
      </c>
    </row>
    <row r="39" spans="1:16" ht="15">
      <c r="A39" s="132"/>
      <c r="B39" s="7"/>
      <c r="C39" s="55"/>
      <c r="D39" s="55"/>
      <c r="E39" s="55">
        <v>633</v>
      </c>
      <c r="F39" s="8" t="s">
        <v>29</v>
      </c>
      <c r="G39" s="9"/>
      <c r="H39" s="9" t="s">
        <v>30</v>
      </c>
      <c r="I39" s="9"/>
      <c r="J39" s="9"/>
      <c r="K39" s="9"/>
      <c r="L39" s="46">
        <v>48</v>
      </c>
      <c r="M39" s="46">
        <v>47.84</v>
      </c>
      <c r="N39" s="519">
        <v>100</v>
      </c>
      <c r="O39" s="519">
        <f t="shared" si="2"/>
        <v>102</v>
      </c>
      <c r="P39" s="18">
        <f t="shared" si="3"/>
        <v>104</v>
      </c>
    </row>
    <row r="40" spans="1:16" ht="15">
      <c r="A40" s="106"/>
      <c r="B40" s="107"/>
      <c r="C40" s="96"/>
      <c r="D40" s="96"/>
      <c r="E40" s="96">
        <v>631</v>
      </c>
      <c r="F40" s="108" t="s">
        <v>10</v>
      </c>
      <c r="G40" s="10"/>
      <c r="H40" s="10" t="s">
        <v>27</v>
      </c>
      <c r="I40" s="10"/>
      <c r="J40" s="10"/>
      <c r="K40" s="10"/>
      <c r="L40" s="56">
        <v>10</v>
      </c>
      <c r="M40" s="56">
        <v>9.05</v>
      </c>
      <c r="N40" s="703">
        <v>10</v>
      </c>
      <c r="O40" s="519">
        <f t="shared" si="2"/>
        <v>10.2</v>
      </c>
      <c r="P40" s="18">
        <f t="shared" si="3"/>
        <v>10.4</v>
      </c>
    </row>
    <row r="41" spans="1:16" ht="15">
      <c r="A41" s="132"/>
      <c r="B41" s="7"/>
      <c r="C41" s="55"/>
      <c r="D41" s="55"/>
      <c r="E41" s="55">
        <v>633</v>
      </c>
      <c r="F41" s="8" t="s">
        <v>10</v>
      </c>
      <c r="G41" s="9"/>
      <c r="H41" s="9" t="s">
        <v>33</v>
      </c>
      <c r="I41" s="9"/>
      <c r="J41" s="9"/>
      <c r="K41" s="9"/>
      <c r="L41" s="46">
        <v>41</v>
      </c>
      <c r="M41" s="46">
        <v>41</v>
      </c>
      <c r="N41" s="519">
        <v>140</v>
      </c>
      <c r="O41" s="519">
        <f t="shared" si="2"/>
        <v>142.8</v>
      </c>
      <c r="P41" s="18">
        <f t="shared" si="3"/>
        <v>145.6</v>
      </c>
    </row>
    <row r="42" spans="1:16" ht="15">
      <c r="A42" s="106"/>
      <c r="B42" s="107"/>
      <c r="C42" s="96"/>
      <c r="D42" s="96"/>
      <c r="E42" s="96">
        <v>637</v>
      </c>
      <c r="F42" s="108" t="s">
        <v>13</v>
      </c>
      <c r="G42" s="10"/>
      <c r="H42" s="10" t="s">
        <v>34</v>
      </c>
      <c r="I42" s="10"/>
      <c r="J42" s="10"/>
      <c r="K42" s="10"/>
      <c r="L42" s="56">
        <v>0</v>
      </c>
      <c r="M42" s="56">
        <v>0</v>
      </c>
      <c r="N42" s="539">
        <v>40</v>
      </c>
      <c r="O42" s="519">
        <f t="shared" si="2"/>
        <v>40.8</v>
      </c>
      <c r="P42" s="18">
        <f t="shared" si="3"/>
        <v>41.6</v>
      </c>
    </row>
    <row r="43" spans="1:16" ht="15">
      <c r="A43" s="6">
        <v>1</v>
      </c>
      <c r="B43" s="3">
        <v>2</v>
      </c>
      <c r="C43" s="523"/>
      <c r="D43" s="523"/>
      <c r="E43" s="523"/>
      <c r="F43" s="4"/>
      <c r="G43" s="5"/>
      <c r="H43" s="5" t="s">
        <v>344</v>
      </c>
      <c r="I43" s="5"/>
      <c r="J43" s="5"/>
      <c r="K43" s="5"/>
      <c r="L43" s="73">
        <f>SUM(L30:L42)</f>
        <v>10771</v>
      </c>
      <c r="M43" s="73">
        <f>SUM(M30:M42)</f>
        <v>11674.15</v>
      </c>
      <c r="N43" s="520">
        <v>12255</v>
      </c>
      <c r="O43" s="14">
        <f>SUM(O30:O42)</f>
        <v>13373.220000000001</v>
      </c>
      <c r="P43" s="133">
        <f>SUM(P30:P42)</f>
        <v>13635.44</v>
      </c>
    </row>
    <row r="44" spans="1:16" ht="15">
      <c r="A44" s="132">
        <v>1</v>
      </c>
      <c r="B44" s="7">
        <v>3</v>
      </c>
      <c r="C44" s="55" t="s">
        <v>25</v>
      </c>
      <c r="D44" s="55"/>
      <c r="E44" s="55"/>
      <c r="F44" s="8"/>
      <c r="G44" s="9"/>
      <c r="H44" s="9" t="s">
        <v>36</v>
      </c>
      <c r="I44" s="9"/>
      <c r="J44" s="9"/>
      <c r="K44" s="9"/>
      <c r="L44" s="46"/>
      <c r="M44" s="46"/>
      <c r="N44" s="519"/>
      <c r="O44" s="454">
        <v>0.02</v>
      </c>
      <c r="P44" s="455">
        <v>0.04</v>
      </c>
    </row>
    <row r="45" spans="1:16" ht="15">
      <c r="A45" s="132">
        <v>1</v>
      </c>
      <c r="B45" s="7">
        <v>3</v>
      </c>
      <c r="C45" s="55">
        <v>1</v>
      </c>
      <c r="D45" s="55">
        <v>41</v>
      </c>
      <c r="E45" s="55">
        <v>637</v>
      </c>
      <c r="F45" s="8" t="s">
        <v>19</v>
      </c>
      <c r="G45" s="9"/>
      <c r="H45" s="9" t="s">
        <v>37</v>
      </c>
      <c r="I45" s="9"/>
      <c r="J45" s="9"/>
      <c r="K45" s="9"/>
      <c r="L45" s="46">
        <v>2000</v>
      </c>
      <c r="M45" s="46">
        <v>1560</v>
      </c>
      <c r="N45" s="519">
        <v>2000</v>
      </c>
      <c r="O45" s="11">
        <f>N45+N45*O44</f>
        <v>2040</v>
      </c>
      <c r="P45" s="18">
        <f>N45+N45*P44</f>
        <v>2080</v>
      </c>
    </row>
    <row r="46" spans="1:16" ht="15">
      <c r="A46" s="6">
        <v>1</v>
      </c>
      <c r="B46" s="3">
        <v>3</v>
      </c>
      <c r="C46" s="523"/>
      <c r="D46" s="523"/>
      <c r="E46" s="523"/>
      <c r="F46" s="4"/>
      <c r="G46" s="5"/>
      <c r="H46" s="5" t="s">
        <v>398</v>
      </c>
      <c r="I46" s="5"/>
      <c r="J46" s="5"/>
      <c r="K46" s="5"/>
      <c r="L46" s="73">
        <f>L45</f>
        <v>2000</v>
      </c>
      <c r="M46" s="73">
        <f>M45</f>
        <v>1560</v>
      </c>
      <c r="N46" s="694">
        <f>N45</f>
        <v>2000</v>
      </c>
      <c r="O46" s="14">
        <f>O45</f>
        <v>2040</v>
      </c>
      <c r="P46" s="133">
        <f>P45</f>
        <v>2080</v>
      </c>
    </row>
    <row r="47" spans="1:16" ht="15">
      <c r="A47" s="132">
        <v>1</v>
      </c>
      <c r="B47" s="7">
        <v>4</v>
      </c>
      <c r="C47" s="55" t="s">
        <v>25</v>
      </c>
      <c r="D47" s="55"/>
      <c r="E47" s="55"/>
      <c r="F47" s="8"/>
      <c r="G47" s="9"/>
      <c r="H47" s="9" t="s">
        <v>38</v>
      </c>
      <c r="I47" s="9"/>
      <c r="J47" s="9"/>
      <c r="K47" s="9"/>
      <c r="L47" s="46"/>
      <c r="M47" s="46"/>
      <c r="N47" s="519"/>
      <c r="O47" s="11"/>
      <c r="P47" s="18"/>
    </row>
    <row r="48" spans="1:16" ht="15">
      <c r="A48" s="132">
        <v>1</v>
      </c>
      <c r="B48" s="7">
        <v>4</v>
      </c>
      <c r="C48" s="55"/>
      <c r="D48" s="55"/>
      <c r="E48" s="55">
        <v>642</v>
      </c>
      <c r="F48" s="8" t="s">
        <v>10</v>
      </c>
      <c r="G48" s="9"/>
      <c r="H48" s="9" t="s">
        <v>39</v>
      </c>
      <c r="I48" s="9"/>
      <c r="J48" s="9"/>
      <c r="K48" s="9"/>
      <c r="L48" s="46">
        <v>265</v>
      </c>
      <c r="M48" s="46">
        <v>0</v>
      </c>
      <c r="N48" s="519">
        <v>0</v>
      </c>
      <c r="O48" s="11">
        <f>N48+N48*$O$29</f>
        <v>0</v>
      </c>
      <c r="P48" s="18">
        <f>N48+N48*$P$29</f>
        <v>0</v>
      </c>
    </row>
    <row r="49" spans="1:16" ht="15">
      <c r="A49" s="132"/>
      <c r="B49" s="7"/>
      <c r="C49" s="55"/>
      <c r="D49" s="55"/>
      <c r="E49" s="55">
        <v>642</v>
      </c>
      <c r="F49" s="8" t="s">
        <v>11</v>
      </c>
      <c r="G49" s="9"/>
      <c r="H49" s="9" t="s">
        <v>40</v>
      </c>
      <c r="I49" s="9"/>
      <c r="J49" s="9"/>
      <c r="K49" s="9"/>
      <c r="L49" s="46">
        <v>400</v>
      </c>
      <c r="M49" s="46">
        <v>399.65</v>
      </c>
      <c r="N49" s="519">
        <v>500</v>
      </c>
      <c r="O49" s="11">
        <f>N49+N49*$O$29</f>
        <v>510</v>
      </c>
      <c r="P49" s="18">
        <f>N49+N49*$P$29</f>
        <v>520</v>
      </c>
    </row>
    <row r="50" spans="1:16" ht="15">
      <c r="A50" s="132"/>
      <c r="B50" s="7"/>
      <c r="C50" s="55"/>
      <c r="D50" s="55"/>
      <c r="E50" s="55">
        <v>642</v>
      </c>
      <c r="F50" s="8" t="s">
        <v>29</v>
      </c>
      <c r="G50" s="9"/>
      <c r="H50" s="9" t="s">
        <v>41</v>
      </c>
      <c r="I50" s="9"/>
      <c r="J50" s="9"/>
      <c r="K50" s="9"/>
      <c r="L50" s="46">
        <v>1200</v>
      </c>
      <c r="M50" s="46">
        <v>1130.58</v>
      </c>
      <c r="N50" s="519">
        <v>1200</v>
      </c>
      <c r="O50" s="11">
        <f>N50+N50*$O$29</f>
        <v>1224</v>
      </c>
      <c r="P50" s="18">
        <f>N50+N50*$P$29</f>
        <v>1248</v>
      </c>
    </row>
    <row r="51" spans="1:16" ht="15">
      <c r="A51" s="132"/>
      <c r="B51" s="7"/>
      <c r="C51" s="55"/>
      <c r="D51" s="55"/>
      <c r="E51" s="55"/>
      <c r="F51" s="8"/>
      <c r="G51" s="9"/>
      <c r="H51" s="9" t="s">
        <v>438</v>
      </c>
      <c r="I51" s="9"/>
      <c r="J51" s="9"/>
      <c r="K51" s="9"/>
      <c r="L51" s="46"/>
      <c r="M51" s="46"/>
      <c r="N51" s="519"/>
      <c r="O51" s="11"/>
      <c r="P51" s="18"/>
    </row>
    <row r="52" spans="1:16" ht="15">
      <c r="A52" s="6">
        <v>1</v>
      </c>
      <c r="B52" s="3">
        <v>4</v>
      </c>
      <c r="C52" s="523"/>
      <c r="D52" s="523"/>
      <c r="E52" s="523"/>
      <c r="F52" s="4"/>
      <c r="G52" s="5"/>
      <c r="H52" s="5" t="s">
        <v>49</v>
      </c>
      <c r="I52" s="5"/>
      <c r="J52" s="5"/>
      <c r="K52" s="5"/>
      <c r="L52" s="73">
        <f>SUM(L48:L51)</f>
        <v>1865</v>
      </c>
      <c r="M52" s="73">
        <f>SUM(M48:M51)</f>
        <v>1530.23</v>
      </c>
      <c r="N52" s="520">
        <f>SUM(N48:N51)</f>
        <v>1700</v>
      </c>
      <c r="O52" s="14">
        <f>SUM(O48:O51)</f>
        <v>1734</v>
      </c>
      <c r="P52" s="133">
        <f>SUM(P48:P51)</f>
        <v>1768</v>
      </c>
    </row>
    <row r="53" spans="1:16" ht="15">
      <c r="A53" s="132">
        <v>1</v>
      </c>
      <c r="B53" s="7">
        <v>5</v>
      </c>
      <c r="C53" s="55" t="s">
        <v>25</v>
      </c>
      <c r="D53" s="55"/>
      <c r="E53" s="55"/>
      <c r="F53" s="8"/>
      <c r="G53" s="9"/>
      <c r="H53" s="9" t="s">
        <v>42</v>
      </c>
      <c r="I53" s="9"/>
      <c r="J53" s="9"/>
      <c r="K53" s="9"/>
      <c r="L53" s="46"/>
      <c r="M53" s="46"/>
      <c r="N53" s="519"/>
      <c r="O53" s="11"/>
      <c r="P53" s="18"/>
    </row>
    <row r="54" spans="1:16" ht="15">
      <c r="A54" s="132">
        <v>1</v>
      </c>
      <c r="B54" s="7">
        <v>5</v>
      </c>
      <c r="C54" s="55">
        <v>1</v>
      </c>
      <c r="D54" s="55">
        <v>41</v>
      </c>
      <c r="E54" s="55">
        <v>637</v>
      </c>
      <c r="F54" s="8" t="s">
        <v>19</v>
      </c>
      <c r="G54" s="9"/>
      <c r="H54" s="9" t="s">
        <v>43</v>
      </c>
      <c r="I54" s="9"/>
      <c r="J54" s="9"/>
      <c r="K54" s="9"/>
      <c r="L54" s="46">
        <v>12700</v>
      </c>
      <c r="M54" s="46">
        <v>9953.89</v>
      </c>
      <c r="N54" s="519">
        <v>13000</v>
      </c>
      <c r="O54" s="11">
        <f>N54+N54*O29</f>
        <v>13260</v>
      </c>
      <c r="P54" s="18">
        <f>N54+N54*P29</f>
        <v>13520</v>
      </c>
    </row>
    <row r="55" spans="1:16" ht="15">
      <c r="A55" s="132"/>
      <c r="B55" s="7"/>
      <c r="C55" s="55"/>
      <c r="D55" s="55"/>
      <c r="E55" s="55"/>
      <c r="F55" s="8"/>
      <c r="G55" s="9"/>
      <c r="H55" s="9" t="s">
        <v>44</v>
      </c>
      <c r="I55" s="9"/>
      <c r="J55" s="9"/>
      <c r="K55" s="9"/>
      <c r="L55" s="46"/>
      <c r="M55" s="46"/>
      <c r="N55" s="519"/>
      <c r="O55" s="11"/>
      <c r="P55" s="18"/>
    </row>
    <row r="56" spans="1:16" ht="15">
      <c r="A56" s="132"/>
      <c r="B56" s="7"/>
      <c r="C56" s="55"/>
      <c r="D56" s="55"/>
      <c r="E56" s="55">
        <v>637</v>
      </c>
      <c r="F56" s="8" t="s">
        <v>46</v>
      </c>
      <c r="G56" s="9"/>
      <c r="H56" s="9" t="s">
        <v>47</v>
      </c>
      <c r="I56" s="9"/>
      <c r="J56" s="9"/>
      <c r="K56" s="9"/>
      <c r="L56" s="46">
        <v>660</v>
      </c>
      <c r="M56" s="46">
        <v>486</v>
      </c>
      <c r="N56" s="519">
        <v>660</v>
      </c>
      <c r="O56" s="11">
        <f>N56+N56*O29</f>
        <v>673.2</v>
      </c>
      <c r="P56" s="18">
        <f>N56+N56*P29</f>
        <v>686.4</v>
      </c>
    </row>
    <row r="57" spans="1:16" ht="15">
      <c r="A57" s="6">
        <v>1</v>
      </c>
      <c r="B57" s="3">
        <v>5</v>
      </c>
      <c r="C57" s="523">
        <v>1</v>
      </c>
      <c r="D57" s="523"/>
      <c r="E57" s="523"/>
      <c r="F57" s="4"/>
      <c r="G57" s="5"/>
      <c r="H57" s="5" t="s">
        <v>49</v>
      </c>
      <c r="I57" s="5"/>
      <c r="J57" s="5"/>
      <c r="K57" s="5"/>
      <c r="L57" s="73">
        <v>13660</v>
      </c>
      <c r="M57" s="73">
        <f>SUM(M54:M56)</f>
        <v>10439.89</v>
      </c>
      <c r="N57" s="520">
        <f>SUM(N54:N56)</f>
        <v>13660</v>
      </c>
      <c r="O57" s="14">
        <f>SUM(O54:O56)</f>
        <v>13933.2</v>
      </c>
      <c r="P57" s="133">
        <f>SUM(P54:P56)</f>
        <v>14206.4</v>
      </c>
    </row>
    <row r="58" spans="1:21" ht="15">
      <c r="A58" s="132">
        <v>1</v>
      </c>
      <c r="B58" s="7">
        <v>5</v>
      </c>
      <c r="C58" s="55">
        <v>2</v>
      </c>
      <c r="D58" s="55">
        <v>41</v>
      </c>
      <c r="E58" s="55">
        <v>716</v>
      </c>
      <c r="F58" s="8"/>
      <c r="G58" s="9"/>
      <c r="H58" s="9" t="s">
        <v>48</v>
      </c>
      <c r="I58" s="9"/>
      <c r="J58" s="9"/>
      <c r="K58" s="9"/>
      <c r="L58" s="46">
        <v>9000</v>
      </c>
      <c r="M58" s="46">
        <v>240</v>
      </c>
      <c r="N58" s="519">
        <v>9000</v>
      </c>
      <c r="O58" s="14">
        <v>0</v>
      </c>
      <c r="P58" s="133">
        <v>0</v>
      </c>
      <c r="S58" s="178">
        <v>30.126</v>
      </c>
      <c r="T58" s="178">
        <f>R58/S58</f>
        <v>0</v>
      </c>
      <c r="U58" s="179"/>
    </row>
    <row r="59" spans="1:18" ht="15">
      <c r="A59" s="160">
        <v>1</v>
      </c>
      <c r="B59" s="161">
        <v>5</v>
      </c>
      <c r="C59" s="162"/>
      <c r="D59" s="162"/>
      <c r="E59" s="162"/>
      <c r="F59" s="163"/>
      <c r="G59" s="164"/>
      <c r="H59" s="164" t="s">
        <v>49</v>
      </c>
      <c r="I59" s="164"/>
      <c r="J59" s="164"/>
      <c r="K59" s="164"/>
      <c r="L59" s="437">
        <f>L57+L58</f>
        <v>22660</v>
      </c>
      <c r="M59" s="437">
        <f>M57+M58</f>
        <v>10679.89</v>
      </c>
      <c r="N59" s="684">
        <f>N57+N58</f>
        <v>22660</v>
      </c>
      <c r="O59" s="165">
        <f>O57+O58</f>
        <v>13933.2</v>
      </c>
      <c r="P59" s="166">
        <f>P57+P58</f>
        <v>14206.4</v>
      </c>
      <c r="R59" s="23"/>
    </row>
    <row r="60" spans="1:16" ht="15">
      <c r="A60" s="132">
        <v>1</v>
      </c>
      <c r="B60" s="7"/>
      <c r="C60" s="55"/>
      <c r="D60" s="55"/>
      <c r="E60" s="55"/>
      <c r="F60" s="8"/>
      <c r="G60" s="9"/>
      <c r="H60" s="5" t="s">
        <v>411</v>
      </c>
      <c r="I60" s="9"/>
      <c r="J60" s="9"/>
      <c r="K60" s="9"/>
      <c r="L60" s="46"/>
      <c r="M60" s="46"/>
      <c r="N60" s="519"/>
      <c r="O60" s="11"/>
      <c r="P60" s="18"/>
    </row>
    <row r="61" spans="1:16" ht="15">
      <c r="A61" s="167"/>
      <c r="B61" s="168"/>
      <c r="C61" s="169"/>
      <c r="D61" s="169"/>
      <c r="E61" s="169"/>
      <c r="F61" s="170"/>
      <c r="G61" s="171"/>
      <c r="H61" s="171" t="s">
        <v>412</v>
      </c>
      <c r="I61" s="171"/>
      <c r="J61" s="171"/>
      <c r="K61" s="171"/>
      <c r="L61" s="438">
        <f>L28+L43+L46+L52+L59</f>
        <v>87278</v>
      </c>
      <c r="M61" s="438">
        <f>M28+M43+M46+M52+M59</f>
        <v>68589.24</v>
      </c>
      <c r="N61" s="685">
        <f>N28+N43+N46+N52+N59</f>
        <v>86026</v>
      </c>
      <c r="O61" s="172">
        <f>O28+O43+O46+O52+O59</f>
        <v>78205.64</v>
      </c>
      <c r="P61" s="173">
        <f>P28+P43+P46+P52+P59</f>
        <v>79779.28</v>
      </c>
    </row>
    <row r="62" spans="1:16" ht="15">
      <c r="A62" s="177">
        <v>2</v>
      </c>
      <c r="B62" s="754" t="s">
        <v>24</v>
      </c>
      <c r="C62" s="754"/>
      <c r="D62" s="754"/>
      <c r="E62" s="754"/>
      <c r="F62" s="174" t="s">
        <v>53</v>
      </c>
      <c r="G62" s="175"/>
      <c r="H62" s="175"/>
      <c r="I62" s="175"/>
      <c r="J62" s="117"/>
      <c r="K62" s="117"/>
      <c r="L62" s="86"/>
      <c r="M62" s="86"/>
      <c r="N62" s="683"/>
      <c r="O62" s="12">
        <v>0.02</v>
      </c>
      <c r="P62" s="22">
        <v>0.04</v>
      </c>
    </row>
    <row r="63" spans="1:16" ht="15">
      <c r="A63" s="6">
        <v>2</v>
      </c>
      <c r="B63" s="3">
        <v>1</v>
      </c>
      <c r="C63" s="523" t="s">
        <v>25</v>
      </c>
      <c r="D63" s="523"/>
      <c r="E63" s="523"/>
      <c r="F63" s="4"/>
      <c r="G63" s="5" t="s">
        <v>52</v>
      </c>
      <c r="H63" s="5"/>
      <c r="I63" s="5"/>
      <c r="J63" s="5"/>
      <c r="K63" s="5"/>
      <c r="L63" s="73"/>
      <c r="M63" s="73"/>
      <c r="N63" s="519"/>
      <c r="O63" s="11"/>
      <c r="P63" s="18"/>
    </row>
    <row r="64" spans="1:16" ht="15">
      <c r="A64" s="106" t="s">
        <v>0</v>
      </c>
      <c r="B64" s="107" t="s">
        <v>1</v>
      </c>
      <c r="C64" s="96" t="s">
        <v>2</v>
      </c>
      <c r="D64" s="96" t="s">
        <v>3</v>
      </c>
      <c r="E64" s="96" t="s">
        <v>4</v>
      </c>
      <c r="F64" s="108" t="s">
        <v>5</v>
      </c>
      <c r="G64" s="10" t="s">
        <v>6</v>
      </c>
      <c r="H64" s="10" t="s">
        <v>7</v>
      </c>
      <c r="I64" s="10"/>
      <c r="J64" s="10"/>
      <c r="K64" s="10"/>
      <c r="L64" s="56"/>
      <c r="M64" s="56"/>
      <c r="N64" s="539"/>
      <c r="O64" s="57"/>
      <c r="P64" s="17"/>
    </row>
    <row r="65" spans="1:16" ht="15">
      <c r="A65" s="132">
        <v>2</v>
      </c>
      <c r="B65" s="7">
        <v>1</v>
      </c>
      <c r="C65" s="55">
        <v>1</v>
      </c>
      <c r="D65" s="55">
        <v>41</v>
      </c>
      <c r="E65" s="55">
        <v>633</v>
      </c>
      <c r="F65" s="8" t="s">
        <v>29</v>
      </c>
      <c r="G65" s="9"/>
      <c r="H65" s="9" t="s">
        <v>340</v>
      </c>
      <c r="I65" s="9"/>
      <c r="J65" s="9"/>
      <c r="K65" s="9"/>
      <c r="L65" s="46">
        <v>2000</v>
      </c>
      <c r="M65" s="46">
        <v>2383.64</v>
      </c>
      <c r="N65" s="693">
        <v>6000</v>
      </c>
      <c r="O65" s="11">
        <f>N65+N65*O62</f>
        <v>6120</v>
      </c>
      <c r="P65" s="18">
        <f>N65+N65*P62</f>
        <v>6240</v>
      </c>
    </row>
    <row r="66" spans="1:16" ht="15">
      <c r="A66" s="106"/>
      <c r="B66" s="107"/>
      <c r="C66" s="96"/>
      <c r="D66" s="96"/>
      <c r="E66" s="96">
        <v>637</v>
      </c>
      <c r="F66" s="108" t="s">
        <v>13</v>
      </c>
      <c r="G66" s="10"/>
      <c r="H66" s="10" t="s">
        <v>623</v>
      </c>
      <c r="I66" s="10"/>
      <c r="J66" s="10"/>
      <c r="K66" s="10"/>
      <c r="L66" s="56">
        <v>4500</v>
      </c>
      <c r="M66" s="56">
        <v>1881.76</v>
      </c>
      <c r="N66" s="519">
        <v>3000</v>
      </c>
      <c r="O66" s="11">
        <f>N66+N66*O63</f>
        <v>3000</v>
      </c>
      <c r="P66" s="18">
        <f>N66+N66*P63</f>
        <v>3000</v>
      </c>
    </row>
    <row r="67" spans="1:18" ht="15">
      <c r="A67" s="132">
        <v>2</v>
      </c>
      <c r="B67" s="7">
        <v>1</v>
      </c>
      <c r="C67" s="55">
        <v>1</v>
      </c>
      <c r="D67" s="55">
        <v>41</v>
      </c>
      <c r="E67" s="55">
        <v>637</v>
      </c>
      <c r="F67" s="8" t="s">
        <v>13</v>
      </c>
      <c r="G67" s="9"/>
      <c r="H67" s="9" t="s">
        <v>565</v>
      </c>
      <c r="I67" s="9"/>
      <c r="J67" s="9"/>
      <c r="K67" s="9"/>
      <c r="L67" s="46">
        <v>500</v>
      </c>
      <c r="M67" s="46">
        <v>500</v>
      </c>
      <c r="N67" s="519">
        <v>0</v>
      </c>
      <c r="O67" s="11">
        <f>N67+N67*O64</f>
        <v>0</v>
      </c>
      <c r="P67" s="18">
        <f>N67+N67*P64</f>
        <v>0</v>
      </c>
      <c r="R67" s="24" t="s">
        <v>689</v>
      </c>
    </row>
    <row r="68" spans="1:16" ht="15">
      <c r="A68" s="132">
        <v>2</v>
      </c>
      <c r="B68" s="7">
        <v>1</v>
      </c>
      <c r="C68" s="55">
        <v>1</v>
      </c>
      <c r="D68" s="55">
        <v>41</v>
      </c>
      <c r="E68" s="55">
        <v>637</v>
      </c>
      <c r="F68" s="8" t="s">
        <v>57</v>
      </c>
      <c r="G68" s="9"/>
      <c r="H68" s="9" t="s">
        <v>637</v>
      </c>
      <c r="I68" s="9"/>
      <c r="J68" s="9"/>
      <c r="K68" s="9"/>
      <c r="L68" s="46">
        <v>1000</v>
      </c>
      <c r="M68" s="46">
        <v>353.16</v>
      </c>
      <c r="N68" s="519">
        <v>2000</v>
      </c>
      <c r="O68" s="11">
        <f>N68+N68*O62</f>
        <v>2040</v>
      </c>
      <c r="P68" s="18">
        <f>N68+N68*P62</f>
        <v>2080</v>
      </c>
    </row>
    <row r="69" spans="1:16" ht="15">
      <c r="A69" s="132">
        <v>2</v>
      </c>
      <c r="B69" s="7">
        <v>1</v>
      </c>
      <c r="C69" s="55">
        <v>1</v>
      </c>
      <c r="D69" s="55">
        <v>41</v>
      </c>
      <c r="E69" s="55">
        <v>637</v>
      </c>
      <c r="F69" s="8" t="s">
        <v>19</v>
      </c>
      <c r="G69" s="9"/>
      <c r="H69" s="9" t="s">
        <v>566</v>
      </c>
      <c r="I69" s="9"/>
      <c r="J69" s="9"/>
      <c r="K69" s="9"/>
      <c r="L69" s="46">
        <v>155</v>
      </c>
      <c r="M69" s="504">
        <v>155</v>
      </c>
      <c r="N69" s="519">
        <v>0</v>
      </c>
      <c r="O69" s="11">
        <f>N69+N69*O62</f>
        <v>0</v>
      </c>
      <c r="P69" s="18">
        <f>N69+N69*P62</f>
        <v>0</v>
      </c>
    </row>
    <row r="70" spans="1:16" ht="15">
      <c r="A70" s="19">
        <v>2</v>
      </c>
      <c r="B70" s="524">
        <v>1</v>
      </c>
      <c r="C70" s="521"/>
      <c r="D70" s="521"/>
      <c r="E70" s="521"/>
      <c r="F70" s="20"/>
      <c r="G70" s="21"/>
      <c r="H70" s="21" t="s">
        <v>472</v>
      </c>
      <c r="I70" s="21"/>
      <c r="J70" s="21"/>
      <c r="K70" s="21"/>
      <c r="L70" s="91">
        <f>SUM(L65:L66)</f>
        <v>6500</v>
      </c>
      <c r="M70" s="91">
        <f>SUM(M65:M69)</f>
        <v>5273.5599999999995</v>
      </c>
      <c r="N70" s="686">
        <f>SUM(N65:N69)</f>
        <v>11000</v>
      </c>
      <c r="O70" s="15">
        <f>SUM(O65:O69)</f>
        <v>11160</v>
      </c>
      <c r="P70" s="176">
        <f>SUM(P65:P69)</f>
        <v>11320</v>
      </c>
    </row>
    <row r="71" spans="1:17" ht="15">
      <c r="A71" s="6">
        <v>2</v>
      </c>
      <c r="B71" s="3">
        <v>2</v>
      </c>
      <c r="C71" s="523" t="s">
        <v>25</v>
      </c>
      <c r="D71" s="523"/>
      <c r="E71" s="523"/>
      <c r="F71" s="4"/>
      <c r="G71" s="5"/>
      <c r="H71" s="4" t="s">
        <v>54</v>
      </c>
      <c r="I71" s="5"/>
      <c r="J71" s="9"/>
      <c r="K71" s="9"/>
      <c r="L71" s="46"/>
      <c r="M71" s="46"/>
      <c r="N71" s="519"/>
      <c r="O71" s="11"/>
      <c r="P71" s="18"/>
      <c r="Q71" s="52"/>
    </row>
    <row r="72" spans="1:16" ht="15">
      <c r="A72" s="106">
        <v>2</v>
      </c>
      <c r="B72" s="107">
        <v>2</v>
      </c>
      <c r="C72" s="96" t="s">
        <v>25</v>
      </c>
      <c r="D72" s="96"/>
      <c r="E72" s="96"/>
      <c r="F72" s="108"/>
      <c r="G72" s="10" t="s">
        <v>447</v>
      </c>
      <c r="H72" s="10"/>
      <c r="I72" s="10"/>
      <c r="J72" s="10"/>
      <c r="K72" s="10"/>
      <c r="L72" s="56"/>
      <c r="M72" s="56"/>
      <c r="N72" s="539"/>
      <c r="O72" s="13"/>
      <c r="P72" s="17"/>
    </row>
    <row r="73" spans="1:16" ht="15">
      <c r="A73" s="132">
        <v>2</v>
      </c>
      <c r="B73" s="7">
        <v>2</v>
      </c>
      <c r="C73" s="55">
        <v>1</v>
      </c>
      <c r="D73" s="55">
        <v>111</v>
      </c>
      <c r="E73" s="55">
        <v>633</v>
      </c>
      <c r="F73" s="8" t="s">
        <v>29</v>
      </c>
      <c r="G73" s="9"/>
      <c r="H73" s="9" t="s">
        <v>567</v>
      </c>
      <c r="I73" s="9"/>
      <c r="J73" s="9"/>
      <c r="K73" s="9"/>
      <c r="L73" s="46">
        <v>1500</v>
      </c>
      <c r="M73" s="46">
        <v>1500</v>
      </c>
      <c r="N73" s="519">
        <v>0</v>
      </c>
      <c r="O73" s="11">
        <f>N73+N73*O59</f>
        <v>0</v>
      </c>
      <c r="P73" s="18">
        <f>N73+N73*P59</f>
        <v>0</v>
      </c>
    </row>
    <row r="74" spans="1:16" ht="15">
      <c r="A74" s="132">
        <v>2</v>
      </c>
      <c r="B74" s="7">
        <v>2</v>
      </c>
      <c r="C74" s="55">
        <v>1</v>
      </c>
      <c r="D74" s="55">
        <v>41</v>
      </c>
      <c r="E74" s="55">
        <v>633</v>
      </c>
      <c r="F74" s="8" t="s">
        <v>29</v>
      </c>
      <c r="G74" s="9"/>
      <c r="H74" s="9" t="s">
        <v>30</v>
      </c>
      <c r="I74" s="9"/>
      <c r="J74" s="9"/>
      <c r="K74" s="9"/>
      <c r="L74" s="46">
        <v>1740</v>
      </c>
      <c r="M74" s="46">
        <v>2436.54</v>
      </c>
      <c r="N74" s="519">
        <v>2500</v>
      </c>
      <c r="O74" s="11">
        <f>N74+N74*O62</f>
        <v>2550</v>
      </c>
      <c r="P74" s="18">
        <f>N74+N74*P62</f>
        <v>2600</v>
      </c>
    </row>
    <row r="75" spans="1:16" ht="15">
      <c r="A75" s="132"/>
      <c r="B75" s="7"/>
      <c r="C75" s="55"/>
      <c r="D75" s="55"/>
      <c r="E75" s="55">
        <v>633</v>
      </c>
      <c r="F75" s="8" t="s">
        <v>76</v>
      </c>
      <c r="G75" s="9"/>
      <c r="H75" s="9" t="s">
        <v>448</v>
      </c>
      <c r="I75" s="9"/>
      <c r="J75" s="9"/>
      <c r="K75" s="9"/>
      <c r="L75" s="46">
        <v>360</v>
      </c>
      <c r="M75" s="46">
        <v>355.24</v>
      </c>
      <c r="N75" s="519">
        <v>200</v>
      </c>
      <c r="O75" s="11">
        <f>N75+N75*O62</f>
        <v>204</v>
      </c>
      <c r="P75" s="18">
        <f>N75+N75*P62</f>
        <v>208</v>
      </c>
    </row>
    <row r="76" spans="1:16" ht="15">
      <c r="A76" s="132"/>
      <c r="B76" s="7"/>
      <c r="C76" s="55"/>
      <c r="D76" s="55"/>
      <c r="E76" s="55">
        <v>636</v>
      </c>
      <c r="F76" s="8" t="s">
        <v>10</v>
      </c>
      <c r="G76" s="9"/>
      <c r="H76" s="9" t="s">
        <v>449</v>
      </c>
      <c r="I76" s="9"/>
      <c r="J76" s="9"/>
      <c r="K76" s="9"/>
      <c r="L76" s="46">
        <v>400</v>
      </c>
      <c r="M76" s="46">
        <v>712.9</v>
      </c>
      <c r="N76" s="519">
        <v>1000</v>
      </c>
      <c r="O76" s="11">
        <f>N76+N76*O62</f>
        <v>1020</v>
      </c>
      <c r="P76" s="18">
        <f>N76+N76*P62</f>
        <v>1040</v>
      </c>
    </row>
    <row r="77" spans="1:16" ht="15">
      <c r="A77" s="132"/>
      <c r="B77" s="7"/>
      <c r="C77" s="55"/>
      <c r="D77" s="55"/>
      <c r="E77" s="55">
        <v>637</v>
      </c>
      <c r="F77" s="8" t="s">
        <v>13</v>
      </c>
      <c r="G77" s="9"/>
      <c r="H77" s="9" t="s">
        <v>473</v>
      </c>
      <c r="I77" s="9"/>
      <c r="J77" s="9"/>
      <c r="K77" s="9"/>
      <c r="L77" s="46">
        <v>2000</v>
      </c>
      <c r="M77" s="46">
        <v>1962.2</v>
      </c>
      <c r="N77" s="519">
        <v>4000</v>
      </c>
      <c r="O77" s="11">
        <f>N77+N77*O62</f>
        <v>4080</v>
      </c>
      <c r="P77" s="18">
        <f>N77+N77*P62</f>
        <v>4160</v>
      </c>
    </row>
    <row r="78" spans="1:16" ht="15">
      <c r="A78" s="132"/>
      <c r="B78" s="7"/>
      <c r="C78" s="55"/>
      <c r="D78" s="55"/>
      <c r="E78" s="55">
        <v>637</v>
      </c>
      <c r="F78" s="8" t="s">
        <v>13</v>
      </c>
      <c r="G78" s="9"/>
      <c r="H78" s="9" t="s">
        <v>568</v>
      </c>
      <c r="I78" s="9"/>
      <c r="J78" s="9"/>
      <c r="K78" s="9"/>
      <c r="L78" s="46">
        <v>3000</v>
      </c>
      <c r="M78" s="46">
        <v>3000</v>
      </c>
      <c r="N78" s="519">
        <v>0</v>
      </c>
      <c r="O78" s="11">
        <v>0</v>
      </c>
      <c r="P78" s="18">
        <v>0</v>
      </c>
    </row>
    <row r="79" spans="1:16" ht="15">
      <c r="A79" s="6">
        <v>2</v>
      </c>
      <c r="B79" s="3">
        <v>2</v>
      </c>
      <c r="C79" s="523"/>
      <c r="D79" s="523"/>
      <c r="E79" s="523"/>
      <c r="F79" s="4"/>
      <c r="G79" s="5"/>
      <c r="H79" s="5" t="s">
        <v>450</v>
      </c>
      <c r="I79" s="5"/>
      <c r="J79" s="5"/>
      <c r="K79" s="5"/>
      <c r="L79" s="73">
        <f>SUM(L73:L78)</f>
        <v>9000</v>
      </c>
      <c r="M79" s="73">
        <f>SUM(M73:M78)</f>
        <v>9966.88</v>
      </c>
      <c r="N79" s="520">
        <f>SUM(N73:N78)</f>
        <v>7700</v>
      </c>
      <c r="O79" s="11">
        <f>SUM(O73:O78)</f>
        <v>7854</v>
      </c>
      <c r="P79" s="18">
        <f>SUM(P73:P78)</f>
        <v>8008</v>
      </c>
    </row>
    <row r="80" spans="1:16" ht="15">
      <c r="A80" s="180">
        <v>2</v>
      </c>
      <c r="B80" s="749" t="s">
        <v>24</v>
      </c>
      <c r="C80" s="750"/>
      <c r="D80" s="750"/>
      <c r="E80" s="751"/>
      <c r="F80" s="181" t="s">
        <v>55</v>
      </c>
      <c r="G80" s="5"/>
      <c r="H80" s="5"/>
      <c r="I80" s="9"/>
      <c r="J80" s="9"/>
      <c r="K80" s="9"/>
      <c r="L80" s="46"/>
      <c r="M80" s="46"/>
      <c r="N80" s="519"/>
      <c r="O80" s="11"/>
      <c r="P80" s="18"/>
    </row>
    <row r="81" spans="1:16" ht="15">
      <c r="A81" s="106">
        <v>2</v>
      </c>
      <c r="B81" s="107">
        <v>3</v>
      </c>
      <c r="C81" s="96" t="s">
        <v>25</v>
      </c>
      <c r="D81" s="96"/>
      <c r="E81" s="96"/>
      <c r="F81" s="108"/>
      <c r="G81" s="10" t="s">
        <v>56</v>
      </c>
      <c r="H81" s="10"/>
      <c r="I81" s="10"/>
      <c r="J81" s="10"/>
      <c r="K81" s="10"/>
      <c r="L81" s="56"/>
      <c r="M81" s="56"/>
      <c r="N81" s="539"/>
      <c r="O81" s="13"/>
      <c r="P81" s="17"/>
    </row>
    <row r="82" spans="1:16" ht="15">
      <c r="A82" s="132">
        <v>2</v>
      </c>
      <c r="B82" s="7">
        <v>3</v>
      </c>
      <c r="C82" s="55">
        <v>1</v>
      </c>
      <c r="D82" s="55">
        <v>41</v>
      </c>
      <c r="E82" s="55">
        <v>625</v>
      </c>
      <c r="F82" s="8" t="s">
        <v>12</v>
      </c>
      <c r="G82" s="9"/>
      <c r="H82" s="9" t="s">
        <v>17</v>
      </c>
      <c r="I82" s="9"/>
      <c r="J82" s="9"/>
      <c r="K82" s="9"/>
      <c r="L82" s="46">
        <v>3</v>
      </c>
      <c r="M82" s="46">
        <v>0</v>
      </c>
      <c r="N82" s="519">
        <v>4</v>
      </c>
      <c r="O82" s="11">
        <f>N82+N82*$O$62</f>
        <v>4.08</v>
      </c>
      <c r="P82" s="18">
        <f>N82+N82*$P$62</f>
        <v>4.16</v>
      </c>
    </row>
    <row r="83" spans="1:16" ht="15">
      <c r="A83" s="106">
        <v>2</v>
      </c>
      <c r="B83" s="107">
        <v>3</v>
      </c>
      <c r="C83" s="96">
        <v>1</v>
      </c>
      <c r="D83" s="96">
        <v>41</v>
      </c>
      <c r="E83" s="96">
        <v>633</v>
      </c>
      <c r="F83" s="108" t="s">
        <v>29</v>
      </c>
      <c r="G83" s="10"/>
      <c r="H83" s="10" t="s">
        <v>30</v>
      </c>
      <c r="I83" s="10"/>
      <c r="J83" s="10"/>
      <c r="K83" s="10"/>
      <c r="L83" s="56">
        <v>99</v>
      </c>
      <c r="M83" s="56">
        <v>0</v>
      </c>
      <c r="N83" s="539">
        <v>99</v>
      </c>
      <c r="O83" s="11">
        <f>N83+N83*$O$62</f>
        <v>100.98</v>
      </c>
      <c r="P83" s="18">
        <f>N83+N83*$P$62</f>
        <v>102.96</v>
      </c>
    </row>
    <row r="84" spans="1:16" ht="15">
      <c r="A84" s="132">
        <v>2</v>
      </c>
      <c r="B84" s="7">
        <v>3</v>
      </c>
      <c r="C84" s="55">
        <v>1</v>
      </c>
      <c r="D84" s="55">
        <v>41</v>
      </c>
      <c r="E84" s="55">
        <v>637</v>
      </c>
      <c r="F84" s="8" t="s">
        <v>57</v>
      </c>
      <c r="G84" s="9"/>
      <c r="H84" s="9" t="s">
        <v>58</v>
      </c>
      <c r="I84" s="9"/>
      <c r="J84" s="9"/>
      <c r="K84" s="9"/>
      <c r="L84" s="46">
        <v>432</v>
      </c>
      <c r="M84" s="46">
        <v>0</v>
      </c>
      <c r="N84" s="519">
        <v>800</v>
      </c>
      <c r="O84" s="11">
        <f>N84+N84*$O$62</f>
        <v>816</v>
      </c>
      <c r="P84" s="18">
        <f>N84+N84*$P$62</f>
        <v>832</v>
      </c>
    </row>
    <row r="85" spans="1:16" ht="15">
      <c r="A85" s="19">
        <v>2</v>
      </c>
      <c r="B85" s="524">
        <v>3</v>
      </c>
      <c r="C85" s="521"/>
      <c r="D85" s="521"/>
      <c r="E85" s="521"/>
      <c r="F85" s="20"/>
      <c r="G85" s="21"/>
      <c r="H85" s="21" t="s">
        <v>341</v>
      </c>
      <c r="I85" s="21"/>
      <c r="J85" s="21"/>
      <c r="K85" s="21"/>
      <c r="L85" s="91">
        <f>SUM(L82:L84)</f>
        <v>534</v>
      </c>
      <c r="M85" s="91">
        <f>SUM(M82:M84)</f>
        <v>0</v>
      </c>
      <c r="N85" s="686">
        <f>SUM(N82:N84)</f>
        <v>903</v>
      </c>
      <c r="O85" s="14">
        <f>N85+N85*$O$62</f>
        <v>921.06</v>
      </c>
      <c r="P85" s="133">
        <f>N85+N85*$P$62</f>
        <v>939.12</v>
      </c>
    </row>
    <row r="86" spans="1:16" ht="15">
      <c r="A86" s="182">
        <v>2</v>
      </c>
      <c r="B86" s="183"/>
      <c r="C86" s="184"/>
      <c r="D86" s="184"/>
      <c r="E86" s="184"/>
      <c r="F86" s="185"/>
      <c r="G86" s="186"/>
      <c r="H86" s="186" t="s">
        <v>59</v>
      </c>
      <c r="I86" s="186"/>
      <c r="J86" s="186"/>
      <c r="K86" s="186"/>
      <c r="L86" s="439">
        <f>L70+L79+L85</f>
        <v>16034</v>
      </c>
      <c r="M86" s="439">
        <f>M70+M79+M85</f>
        <v>15240.439999999999</v>
      </c>
      <c r="N86" s="687">
        <f>N70+N79+N85</f>
        <v>19603</v>
      </c>
      <c r="O86" s="187">
        <f>O70+O79+O85</f>
        <v>19935.06</v>
      </c>
      <c r="P86" s="188">
        <f>P70+P79+P85</f>
        <v>20267.12</v>
      </c>
    </row>
    <row r="87" spans="1:16" ht="15">
      <c r="A87" s="189">
        <v>3</v>
      </c>
      <c r="B87" s="755" t="s">
        <v>24</v>
      </c>
      <c r="C87" s="755"/>
      <c r="D87" s="755"/>
      <c r="E87" s="755"/>
      <c r="F87" s="190" t="s">
        <v>413</v>
      </c>
      <c r="G87" s="191"/>
      <c r="H87" s="191"/>
      <c r="I87" s="191"/>
      <c r="J87" s="10"/>
      <c r="K87" s="10"/>
      <c r="L87" s="56"/>
      <c r="M87" s="56"/>
      <c r="N87" s="539"/>
      <c r="O87" s="13"/>
      <c r="P87" s="17"/>
    </row>
    <row r="88" spans="1:16" ht="15">
      <c r="A88" s="6">
        <v>3</v>
      </c>
      <c r="B88" s="3">
        <v>1</v>
      </c>
      <c r="C88" s="523" t="s">
        <v>25</v>
      </c>
      <c r="D88" s="523"/>
      <c r="E88" s="523"/>
      <c r="F88" s="4"/>
      <c r="G88" s="5" t="s">
        <v>60</v>
      </c>
      <c r="H88" s="5"/>
      <c r="I88" s="5"/>
      <c r="J88" s="5"/>
      <c r="K88" s="5"/>
      <c r="L88" s="73"/>
      <c r="M88" s="73"/>
      <c r="N88" s="520"/>
      <c r="O88" s="11"/>
      <c r="P88" s="18"/>
    </row>
    <row r="89" spans="1:16" ht="15">
      <c r="A89" s="106" t="s">
        <v>0</v>
      </c>
      <c r="B89" s="107" t="s">
        <v>1</v>
      </c>
      <c r="C89" s="96" t="s">
        <v>2</v>
      </c>
      <c r="D89" s="96" t="s">
        <v>3</v>
      </c>
      <c r="E89" s="96" t="s">
        <v>4</v>
      </c>
      <c r="F89" s="108" t="s">
        <v>5</v>
      </c>
      <c r="G89" s="10" t="s">
        <v>6</v>
      </c>
      <c r="H89" s="10" t="s">
        <v>7</v>
      </c>
      <c r="I89" s="10"/>
      <c r="J89" s="10"/>
      <c r="K89" s="10"/>
      <c r="L89" s="56"/>
      <c r="M89" s="56"/>
      <c r="N89" s="539"/>
      <c r="O89" s="13"/>
      <c r="P89" s="17"/>
    </row>
    <row r="90" spans="1:16" ht="15">
      <c r="A90" s="132">
        <v>3</v>
      </c>
      <c r="B90" s="7">
        <v>1</v>
      </c>
      <c r="C90" s="55">
        <v>1</v>
      </c>
      <c r="D90" s="55">
        <v>41</v>
      </c>
      <c r="E90" s="55">
        <v>637</v>
      </c>
      <c r="F90" s="8" t="s">
        <v>13</v>
      </c>
      <c r="G90" s="9"/>
      <c r="H90" s="9" t="s">
        <v>569</v>
      </c>
      <c r="I90" s="9"/>
      <c r="J90" s="9"/>
      <c r="K90" s="9"/>
      <c r="L90" s="46">
        <v>2000</v>
      </c>
      <c r="M90" s="46">
        <v>1023.6</v>
      </c>
      <c r="N90" s="519">
        <v>3000</v>
      </c>
      <c r="O90" s="11">
        <f>N90+N90*O62</f>
        <v>3060</v>
      </c>
      <c r="P90" s="18">
        <f>N90+N90*P62</f>
        <v>3120</v>
      </c>
    </row>
    <row r="91" spans="1:16" ht="15">
      <c r="A91" s="376">
        <v>3</v>
      </c>
      <c r="B91" s="377">
        <v>1</v>
      </c>
      <c r="C91" s="378">
        <v>1</v>
      </c>
      <c r="D91" s="378">
        <v>41</v>
      </c>
      <c r="E91" s="378">
        <v>637</v>
      </c>
      <c r="F91" s="379" t="s">
        <v>61</v>
      </c>
      <c r="G91" s="380"/>
      <c r="H91" s="380" t="s">
        <v>62</v>
      </c>
      <c r="I91" s="380"/>
      <c r="J91" s="380"/>
      <c r="K91" s="380"/>
      <c r="L91" s="56"/>
      <c r="M91" s="56"/>
      <c r="N91" s="539">
        <v>0</v>
      </c>
      <c r="O91" s="369">
        <f>N91+N91*O62</f>
        <v>0</v>
      </c>
      <c r="P91" s="370">
        <f>N91+N91*P62</f>
        <v>0</v>
      </c>
    </row>
    <row r="92" spans="1:16" ht="15">
      <c r="A92" s="6">
        <v>3</v>
      </c>
      <c r="B92" s="3">
        <v>1</v>
      </c>
      <c r="C92" s="523"/>
      <c r="D92" s="523"/>
      <c r="E92" s="523"/>
      <c r="F92" s="4"/>
      <c r="G92" s="5"/>
      <c r="H92" s="5" t="s">
        <v>49</v>
      </c>
      <c r="I92" s="5"/>
      <c r="J92" s="5"/>
      <c r="K92" s="5"/>
      <c r="L92" s="73">
        <f>L90</f>
        <v>2000</v>
      </c>
      <c r="M92" s="73">
        <f>M90</f>
        <v>1023.6</v>
      </c>
      <c r="N92" s="520">
        <f>SUM(N90:N91)</f>
        <v>3000</v>
      </c>
      <c r="O92" s="14">
        <f>SUM(O90:O91)</f>
        <v>3060</v>
      </c>
      <c r="P92" s="133">
        <f>SUM(P90:P91)</f>
        <v>3120</v>
      </c>
    </row>
    <row r="93" spans="1:16" ht="15">
      <c r="A93" s="19">
        <v>3</v>
      </c>
      <c r="B93" s="738" t="s">
        <v>24</v>
      </c>
      <c r="C93" s="738"/>
      <c r="D93" s="738"/>
      <c r="E93" s="738"/>
      <c r="F93" s="20" t="s">
        <v>63</v>
      </c>
      <c r="G93" s="21"/>
      <c r="H93" s="21"/>
      <c r="I93" s="21"/>
      <c r="J93" s="10"/>
      <c r="K93" s="10"/>
      <c r="L93" s="56"/>
      <c r="M93" s="56"/>
      <c r="N93" s="539"/>
      <c r="O93" s="13"/>
      <c r="P93" s="17"/>
    </row>
    <row r="94" spans="1:16" ht="15">
      <c r="A94" s="132">
        <v>3</v>
      </c>
      <c r="B94" s="7">
        <v>2</v>
      </c>
      <c r="C94" s="55" t="s">
        <v>25</v>
      </c>
      <c r="D94" s="55"/>
      <c r="E94" s="55"/>
      <c r="F94" s="8"/>
      <c r="G94" s="9" t="s">
        <v>64</v>
      </c>
      <c r="H94" s="9"/>
      <c r="I94" s="9"/>
      <c r="J94" s="9"/>
      <c r="K94" s="9"/>
      <c r="L94" s="46"/>
      <c r="M94" s="46"/>
      <c r="N94" s="519"/>
      <c r="O94" s="11"/>
      <c r="P94" s="18"/>
    </row>
    <row r="95" spans="1:16" ht="15">
      <c r="A95" s="106">
        <v>3</v>
      </c>
      <c r="B95" s="107">
        <v>2</v>
      </c>
      <c r="C95" s="96">
        <v>1</v>
      </c>
      <c r="D95" s="96">
        <v>41</v>
      </c>
      <c r="E95" s="96">
        <v>621</v>
      </c>
      <c r="F95" s="108"/>
      <c r="G95" s="10"/>
      <c r="H95" s="10" t="s">
        <v>14</v>
      </c>
      <c r="I95" s="10"/>
      <c r="J95" s="10"/>
      <c r="K95" s="10"/>
      <c r="L95" s="56">
        <v>370</v>
      </c>
      <c r="M95" s="56">
        <v>147.3</v>
      </c>
      <c r="N95" s="681">
        <f>N101*10%</f>
        <v>300</v>
      </c>
      <c r="O95" s="110">
        <f aca="true" t="shared" si="4" ref="O95:O100">N95+N95*$O$6</f>
        <v>306</v>
      </c>
      <c r="P95" s="18">
        <f aca="true" t="shared" si="5" ref="P95:P100">N95+N95*$P$6</f>
        <v>312</v>
      </c>
    </row>
    <row r="96" spans="1:16" ht="15">
      <c r="A96" s="132"/>
      <c r="B96" s="7"/>
      <c r="C96" s="55"/>
      <c r="D96" s="55"/>
      <c r="E96" s="55">
        <v>625</v>
      </c>
      <c r="F96" s="8" t="s">
        <v>10</v>
      </c>
      <c r="G96" s="9"/>
      <c r="H96" s="9" t="s">
        <v>15</v>
      </c>
      <c r="I96" s="9"/>
      <c r="J96" s="9"/>
      <c r="K96" s="9"/>
      <c r="L96" s="46"/>
      <c r="M96" s="46"/>
      <c r="N96" s="682">
        <v>24</v>
      </c>
      <c r="O96" s="12">
        <f t="shared" si="4"/>
        <v>24.48</v>
      </c>
      <c r="P96" s="22">
        <f t="shared" si="5"/>
        <v>24.96</v>
      </c>
    </row>
    <row r="97" spans="1:16" ht="15">
      <c r="A97" s="106"/>
      <c r="B97" s="107"/>
      <c r="C97" s="96"/>
      <c r="D97" s="96"/>
      <c r="E97" s="96">
        <v>625</v>
      </c>
      <c r="F97" s="108" t="s">
        <v>11</v>
      </c>
      <c r="G97" s="10"/>
      <c r="H97" s="10" t="s">
        <v>16</v>
      </c>
      <c r="I97" s="10"/>
      <c r="J97" s="10"/>
      <c r="K97" s="10"/>
      <c r="L97" s="56">
        <v>570</v>
      </c>
      <c r="M97" s="56">
        <v>206.16</v>
      </c>
      <c r="N97" s="539">
        <f>N101*14%</f>
        <v>420.00000000000006</v>
      </c>
      <c r="O97" s="13">
        <f t="shared" si="4"/>
        <v>428.40000000000003</v>
      </c>
      <c r="P97" s="17">
        <f t="shared" si="5"/>
        <v>436.80000000000007</v>
      </c>
    </row>
    <row r="98" spans="1:16" ht="15">
      <c r="A98" s="132"/>
      <c r="B98" s="7"/>
      <c r="C98" s="55"/>
      <c r="D98" s="55"/>
      <c r="E98" s="55">
        <v>625</v>
      </c>
      <c r="F98" s="8" t="s">
        <v>12</v>
      </c>
      <c r="G98" s="9"/>
      <c r="H98" s="9" t="s">
        <v>17</v>
      </c>
      <c r="I98" s="9"/>
      <c r="J98" s="9"/>
      <c r="K98" s="9"/>
      <c r="L98" s="46">
        <v>30</v>
      </c>
      <c r="M98" s="46">
        <v>23.86</v>
      </c>
      <c r="N98" s="682">
        <v>14</v>
      </c>
      <c r="O98" s="11">
        <f t="shared" si="4"/>
        <v>14.28</v>
      </c>
      <c r="P98" s="18">
        <f t="shared" si="5"/>
        <v>14.56</v>
      </c>
    </row>
    <row r="99" spans="1:16" ht="15">
      <c r="A99" s="132"/>
      <c r="B99" s="7"/>
      <c r="C99" s="55"/>
      <c r="D99" s="55"/>
      <c r="E99" s="55">
        <v>625</v>
      </c>
      <c r="F99" s="8" t="s">
        <v>13</v>
      </c>
      <c r="G99" s="9"/>
      <c r="H99" s="9" t="s">
        <v>18</v>
      </c>
      <c r="I99" s="9"/>
      <c r="J99" s="9"/>
      <c r="K99" s="9"/>
      <c r="L99" s="46">
        <v>110</v>
      </c>
      <c r="M99" s="46">
        <v>44.04</v>
      </c>
      <c r="N99" s="519">
        <f>N101*3%</f>
        <v>90</v>
      </c>
      <c r="O99" s="11">
        <f t="shared" si="4"/>
        <v>91.8</v>
      </c>
      <c r="P99" s="18">
        <f t="shared" si="5"/>
        <v>93.6</v>
      </c>
    </row>
    <row r="100" spans="1:18" ht="15">
      <c r="A100" s="132"/>
      <c r="B100" s="7"/>
      <c r="C100" s="55"/>
      <c r="D100" s="55"/>
      <c r="E100" s="55">
        <v>625</v>
      </c>
      <c r="F100" s="8" t="s">
        <v>21</v>
      </c>
      <c r="G100" s="9"/>
      <c r="H100" s="9" t="s">
        <v>22</v>
      </c>
      <c r="I100" s="9"/>
      <c r="J100" s="9"/>
      <c r="K100" s="9"/>
      <c r="L100" s="46">
        <v>176</v>
      </c>
      <c r="M100" s="46">
        <v>69.72</v>
      </c>
      <c r="N100" s="519">
        <v>81</v>
      </c>
      <c r="O100" s="11">
        <f t="shared" si="4"/>
        <v>82.62</v>
      </c>
      <c r="P100" s="18">
        <f t="shared" si="5"/>
        <v>84.24</v>
      </c>
      <c r="R100" s="24" t="s">
        <v>690</v>
      </c>
    </row>
    <row r="101" spans="1:16" ht="15">
      <c r="A101" s="106"/>
      <c r="B101" s="107"/>
      <c r="C101" s="96"/>
      <c r="D101" s="96"/>
      <c r="E101" s="96">
        <v>637</v>
      </c>
      <c r="F101" s="108" t="s">
        <v>65</v>
      </c>
      <c r="G101" s="10"/>
      <c r="H101" s="10" t="s">
        <v>630</v>
      </c>
      <c r="I101" s="10"/>
      <c r="J101" s="10"/>
      <c r="K101" s="10"/>
      <c r="L101" s="56">
        <v>1700</v>
      </c>
      <c r="M101" s="56">
        <v>1473</v>
      </c>
      <c r="N101" s="539">
        <v>3000</v>
      </c>
      <c r="O101" s="13">
        <f>N101+N101*O62</f>
        <v>3060</v>
      </c>
      <c r="P101" s="17">
        <f>N101+N101*P62</f>
        <v>3120</v>
      </c>
    </row>
    <row r="102" spans="1:16" ht="15">
      <c r="A102" s="132"/>
      <c r="B102" s="7"/>
      <c r="C102" s="55"/>
      <c r="D102" s="55"/>
      <c r="E102" s="55">
        <v>625</v>
      </c>
      <c r="F102" s="8" t="s">
        <v>57</v>
      </c>
      <c r="G102" s="9"/>
      <c r="H102" s="9" t="s">
        <v>570</v>
      </c>
      <c r="I102" s="9"/>
      <c r="J102" s="9"/>
      <c r="K102" s="9"/>
      <c r="L102" s="46">
        <v>2000</v>
      </c>
      <c r="M102" s="46">
        <v>1965.61</v>
      </c>
      <c r="N102" s="519">
        <v>3000</v>
      </c>
      <c r="O102" s="11">
        <f>N102+N102*$O$6</f>
        <v>3060</v>
      </c>
      <c r="P102" s="18">
        <f>N102+N102*$P$6</f>
        <v>3120</v>
      </c>
    </row>
    <row r="103" spans="1:16" ht="15">
      <c r="A103" s="6">
        <v>3</v>
      </c>
      <c r="B103" s="3">
        <v>2</v>
      </c>
      <c r="C103" s="523"/>
      <c r="D103" s="523"/>
      <c r="E103" s="523"/>
      <c r="F103" s="4"/>
      <c r="G103" s="5"/>
      <c r="H103" s="5" t="s">
        <v>49</v>
      </c>
      <c r="I103" s="5"/>
      <c r="J103" s="5"/>
      <c r="K103" s="5"/>
      <c r="L103" s="73">
        <f>SUM(L95:L102)</f>
        <v>4956</v>
      </c>
      <c r="M103" s="73">
        <f>SUM(M95:M102)</f>
        <v>3929.6899999999996</v>
      </c>
      <c r="N103" s="520">
        <f>SUM(N95:N102)</f>
        <v>6929</v>
      </c>
      <c r="O103" s="14">
        <f>SUM(O95:O102)</f>
        <v>7067.58</v>
      </c>
      <c r="P103" s="133">
        <f>SUM(P95:P102)</f>
        <v>7206.16</v>
      </c>
    </row>
    <row r="104" spans="1:16" ht="15">
      <c r="A104" s="6">
        <v>3</v>
      </c>
      <c r="B104" s="3">
        <v>3</v>
      </c>
      <c r="C104" s="523">
        <v>1</v>
      </c>
      <c r="D104" s="523">
        <v>111</v>
      </c>
      <c r="E104" s="523"/>
      <c r="F104" s="4"/>
      <c r="G104" s="5"/>
      <c r="H104" s="5" t="s">
        <v>516</v>
      </c>
      <c r="I104" s="5"/>
      <c r="J104" s="5"/>
      <c r="K104" s="5"/>
      <c r="L104" s="73">
        <v>995.66</v>
      </c>
      <c r="M104" s="73">
        <v>995.66</v>
      </c>
      <c r="N104" s="520">
        <v>1000</v>
      </c>
      <c r="O104" s="14">
        <v>1000</v>
      </c>
      <c r="P104" s="133">
        <v>1000</v>
      </c>
    </row>
    <row r="105" spans="1:16" ht="15">
      <c r="A105" s="192">
        <v>3</v>
      </c>
      <c r="B105" s="193"/>
      <c r="C105" s="194"/>
      <c r="D105" s="194"/>
      <c r="E105" s="194"/>
      <c r="F105" s="195"/>
      <c r="G105" s="196"/>
      <c r="H105" s="196" t="s">
        <v>349</v>
      </c>
      <c r="I105" s="196"/>
      <c r="J105" s="196"/>
      <c r="K105" s="196"/>
      <c r="L105" s="440">
        <f>L92+L103+L104</f>
        <v>7951.66</v>
      </c>
      <c r="M105" s="440">
        <f>M92+M103+M104</f>
        <v>5948.95</v>
      </c>
      <c r="N105" s="688">
        <f>N92+N103+N104</f>
        <v>10929</v>
      </c>
      <c r="O105" s="197">
        <f>O92+O103+O104</f>
        <v>11127.58</v>
      </c>
      <c r="P105" s="198">
        <f>P92+P103+P104</f>
        <v>11326.16</v>
      </c>
    </row>
    <row r="106" spans="1:16" ht="15">
      <c r="A106" s="189">
        <v>4</v>
      </c>
      <c r="B106" s="755" t="s">
        <v>24</v>
      </c>
      <c r="C106" s="755"/>
      <c r="D106" s="755"/>
      <c r="E106" s="755"/>
      <c r="F106" s="190" t="s">
        <v>68</v>
      </c>
      <c r="G106" s="191"/>
      <c r="H106" s="191"/>
      <c r="I106" s="191"/>
      <c r="J106" s="191"/>
      <c r="K106" s="191"/>
      <c r="L106" s="441"/>
      <c r="M106" s="441"/>
      <c r="N106" s="539"/>
      <c r="O106" s="13"/>
      <c r="P106" s="17"/>
    </row>
    <row r="107" spans="1:16" ht="15">
      <c r="A107" s="6">
        <v>4</v>
      </c>
      <c r="B107" s="3">
        <v>1</v>
      </c>
      <c r="C107" s="523" t="s">
        <v>25</v>
      </c>
      <c r="D107" s="523"/>
      <c r="E107" s="523"/>
      <c r="F107" s="4"/>
      <c r="G107" s="5" t="s">
        <v>429</v>
      </c>
      <c r="H107" s="5"/>
      <c r="I107" s="5"/>
      <c r="J107" s="5"/>
      <c r="K107" s="5"/>
      <c r="L107" s="73"/>
      <c r="M107" s="73"/>
      <c r="N107" s="519"/>
      <c r="O107" s="11">
        <v>0.02</v>
      </c>
      <c r="P107" s="18">
        <v>0.04</v>
      </c>
    </row>
    <row r="108" spans="1:16" ht="15">
      <c r="A108" s="106" t="s">
        <v>0</v>
      </c>
      <c r="B108" s="107" t="s">
        <v>1</v>
      </c>
      <c r="C108" s="96" t="s">
        <v>2</v>
      </c>
      <c r="D108" s="96" t="s">
        <v>3</v>
      </c>
      <c r="E108" s="96" t="s">
        <v>4</v>
      </c>
      <c r="F108" s="108" t="s">
        <v>5</v>
      </c>
      <c r="G108" s="10" t="s">
        <v>6</v>
      </c>
      <c r="H108" s="10" t="s">
        <v>7</v>
      </c>
      <c r="I108" s="10"/>
      <c r="J108" s="10"/>
      <c r="K108" s="10"/>
      <c r="L108" s="56"/>
      <c r="M108" s="56"/>
      <c r="N108" s="539"/>
      <c r="O108" s="13"/>
      <c r="P108" s="17"/>
    </row>
    <row r="109" spans="1:18" ht="15">
      <c r="A109" s="132">
        <v>4</v>
      </c>
      <c r="B109" s="7">
        <v>1</v>
      </c>
      <c r="C109" s="55">
        <v>1</v>
      </c>
      <c r="D109" s="55">
        <v>111</v>
      </c>
      <c r="E109" s="55">
        <v>611</v>
      </c>
      <c r="F109" s="8"/>
      <c r="G109" s="9"/>
      <c r="H109" s="9" t="s">
        <v>8</v>
      </c>
      <c r="I109" s="9"/>
      <c r="J109" s="9"/>
      <c r="K109" s="9"/>
      <c r="L109" s="46">
        <v>2768.88</v>
      </c>
      <c r="M109" s="46">
        <v>2768.88</v>
      </c>
      <c r="N109" s="519">
        <v>2800</v>
      </c>
      <c r="O109" s="11">
        <f>N109+N109*$O$107</f>
        <v>2856</v>
      </c>
      <c r="P109" s="18">
        <f>N109+N109*$P$107</f>
        <v>2912</v>
      </c>
      <c r="R109" s="27"/>
    </row>
    <row r="110" spans="1:18" ht="15">
      <c r="A110" s="106"/>
      <c r="B110" s="107"/>
      <c r="C110" s="96"/>
      <c r="D110" s="96"/>
      <c r="E110" s="96">
        <v>622</v>
      </c>
      <c r="F110" s="108"/>
      <c r="G110" s="10"/>
      <c r="H110" s="10" t="s">
        <v>14</v>
      </c>
      <c r="I110" s="10"/>
      <c r="J110" s="10"/>
      <c r="K110" s="10"/>
      <c r="L110" s="56">
        <v>276.89</v>
      </c>
      <c r="M110" s="56">
        <v>276.89</v>
      </c>
      <c r="N110" s="539">
        <f>N109*10%</f>
        <v>280</v>
      </c>
      <c r="O110" s="11">
        <f aca="true" t="shared" si="6" ref="O110:O159">N110+N110*$O$107</f>
        <v>285.6</v>
      </c>
      <c r="P110" s="18">
        <f aca="true" t="shared" si="7" ref="P110:P159">N110+N110*$P$107</f>
        <v>291.2</v>
      </c>
      <c r="R110" s="27"/>
    </row>
    <row r="111" spans="1:18" ht="15">
      <c r="A111" s="132"/>
      <c r="B111" s="7"/>
      <c r="C111" s="55"/>
      <c r="D111" s="55"/>
      <c r="E111" s="55">
        <v>625</v>
      </c>
      <c r="F111" s="8" t="s">
        <v>10</v>
      </c>
      <c r="G111" s="9"/>
      <c r="H111" s="9" t="s">
        <v>15</v>
      </c>
      <c r="I111" s="9"/>
      <c r="J111" s="9"/>
      <c r="K111" s="9"/>
      <c r="L111" s="46">
        <v>38.76</v>
      </c>
      <c r="M111" s="46">
        <v>38.76</v>
      </c>
      <c r="N111" s="519">
        <v>39</v>
      </c>
      <c r="O111" s="11">
        <f t="shared" si="6"/>
        <v>39.78</v>
      </c>
      <c r="P111" s="18">
        <f t="shared" si="7"/>
        <v>40.56</v>
      </c>
      <c r="R111" s="27"/>
    </row>
    <row r="112" spans="1:18" ht="15">
      <c r="A112" s="106"/>
      <c r="B112" s="107"/>
      <c r="C112" s="96"/>
      <c r="D112" s="96"/>
      <c r="E112" s="96">
        <v>625</v>
      </c>
      <c r="F112" s="108" t="s">
        <v>11</v>
      </c>
      <c r="G112" s="10"/>
      <c r="H112" s="10" t="s">
        <v>16</v>
      </c>
      <c r="I112" s="10"/>
      <c r="J112" s="10"/>
      <c r="K112" s="10"/>
      <c r="L112" s="56">
        <v>387.64</v>
      </c>
      <c r="M112" s="56">
        <v>387.64</v>
      </c>
      <c r="N112" s="539">
        <f>N109*14%</f>
        <v>392.00000000000006</v>
      </c>
      <c r="O112" s="11">
        <f t="shared" si="6"/>
        <v>399.84000000000003</v>
      </c>
      <c r="P112" s="18">
        <f t="shared" si="7"/>
        <v>407.68000000000006</v>
      </c>
      <c r="R112" s="27"/>
    </row>
    <row r="113" spans="1:18" ht="15">
      <c r="A113" s="132"/>
      <c r="B113" s="7"/>
      <c r="C113" s="55"/>
      <c r="D113" s="55"/>
      <c r="E113" s="55">
        <v>625</v>
      </c>
      <c r="F113" s="8" t="s">
        <v>12</v>
      </c>
      <c r="G113" s="9"/>
      <c r="H113" s="9" t="s">
        <v>17</v>
      </c>
      <c r="I113" s="9"/>
      <c r="J113" s="9"/>
      <c r="K113" s="9"/>
      <c r="L113" s="46">
        <v>22.15</v>
      </c>
      <c r="M113" s="46">
        <v>22.15</v>
      </c>
      <c r="N113" s="519">
        <v>22</v>
      </c>
      <c r="O113" s="11">
        <f t="shared" si="6"/>
        <v>22.44</v>
      </c>
      <c r="P113" s="18">
        <f t="shared" si="7"/>
        <v>22.88</v>
      </c>
      <c r="R113" s="27"/>
    </row>
    <row r="114" spans="1:18" ht="15">
      <c r="A114" s="106"/>
      <c r="B114" s="107"/>
      <c r="C114" s="96"/>
      <c r="D114" s="96"/>
      <c r="E114" s="96">
        <v>625</v>
      </c>
      <c r="F114" s="108" t="s">
        <v>13</v>
      </c>
      <c r="G114" s="10"/>
      <c r="H114" s="10" t="s">
        <v>18</v>
      </c>
      <c r="I114" s="10"/>
      <c r="J114" s="10"/>
      <c r="K114" s="10"/>
      <c r="L114" s="56">
        <v>83.07</v>
      </c>
      <c r="M114" s="56">
        <v>83.07</v>
      </c>
      <c r="N114" s="539">
        <f>N109*3%</f>
        <v>84</v>
      </c>
      <c r="O114" s="11">
        <f t="shared" si="6"/>
        <v>85.68</v>
      </c>
      <c r="P114" s="18">
        <f t="shared" si="7"/>
        <v>87.36</v>
      </c>
      <c r="R114" s="27"/>
    </row>
    <row r="115" spans="1:18" ht="15">
      <c r="A115" s="132"/>
      <c r="B115" s="7"/>
      <c r="C115" s="55"/>
      <c r="D115" s="55"/>
      <c r="E115" s="55">
        <v>625</v>
      </c>
      <c r="F115" s="8" t="s">
        <v>19</v>
      </c>
      <c r="G115" s="9"/>
      <c r="H115" s="9" t="s">
        <v>20</v>
      </c>
      <c r="I115" s="9"/>
      <c r="J115" s="9"/>
      <c r="K115" s="9"/>
      <c r="L115" s="46">
        <v>27.69</v>
      </c>
      <c r="M115" s="46">
        <v>27.69</v>
      </c>
      <c r="N115" s="519">
        <f>N109*1%</f>
        <v>28</v>
      </c>
      <c r="O115" s="11">
        <f t="shared" si="6"/>
        <v>28.56</v>
      </c>
      <c r="P115" s="18">
        <f t="shared" si="7"/>
        <v>29.12</v>
      </c>
      <c r="R115" s="27"/>
    </row>
    <row r="116" spans="1:18" ht="15">
      <c r="A116" s="106"/>
      <c r="B116" s="107"/>
      <c r="C116" s="96"/>
      <c r="D116" s="96"/>
      <c r="E116" s="96">
        <v>625</v>
      </c>
      <c r="F116" s="108" t="s">
        <v>21</v>
      </c>
      <c r="G116" s="10"/>
      <c r="H116" s="10" t="s">
        <v>22</v>
      </c>
      <c r="I116" s="10"/>
      <c r="J116" s="10"/>
      <c r="K116" s="10"/>
      <c r="L116" s="56">
        <v>131.52</v>
      </c>
      <c r="M116" s="56">
        <v>131.52</v>
      </c>
      <c r="N116" s="539">
        <f>N109*4.75%</f>
        <v>133</v>
      </c>
      <c r="O116" s="11">
        <f t="shared" si="6"/>
        <v>135.66</v>
      </c>
      <c r="P116" s="18">
        <f t="shared" si="7"/>
        <v>138.32</v>
      </c>
      <c r="R116" s="27"/>
    </row>
    <row r="117" spans="1:18" ht="15">
      <c r="A117" s="132"/>
      <c r="B117" s="7"/>
      <c r="C117" s="55"/>
      <c r="D117" s="55"/>
      <c r="E117" s="55">
        <v>632</v>
      </c>
      <c r="F117" s="8" t="s">
        <v>12</v>
      </c>
      <c r="G117" s="9"/>
      <c r="H117" s="9" t="s">
        <v>69</v>
      </c>
      <c r="I117" s="9"/>
      <c r="J117" s="9"/>
      <c r="K117" s="9"/>
      <c r="L117" s="46">
        <v>32</v>
      </c>
      <c r="M117" s="504">
        <v>32</v>
      </c>
      <c r="N117" s="519">
        <v>35</v>
      </c>
      <c r="O117" s="11">
        <f t="shared" si="6"/>
        <v>35.7</v>
      </c>
      <c r="P117" s="18">
        <f t="shared" si="7"/>
        <v>36.4</v>
      </c>
      <c r="R117" s="27"/>
    </row>
    <row r="118" spans="1:18" ht="15">
      <c r="A118" s="106"/>
      <c r="B118" s="107"/>
      <c r="C118" s="96"/>
      <c r="D118" s="96"/>
      <c r="E118" s="96">
        <v>633</v>
      </c>
      <c r="F118" s="108" t="s">
        <v>29</v>
      </c>
      <c r="G118" s="10"/>
      <c r="H118" s="10" t="s">
        <v>30</v>
      </c>
      <c r="I118" s="10"/>
      <c r="J118" s="10"/>
      <c r="K118" s="10"/>
      <c r="L118" s="56">
        <v>30</v>
      </c>
      <c r="M118" s="505">
        <v>15</v>
      </c>
      <c r="N118" s="539">
        <v>19</v>
      </c>
      <c r="O118" s="11">
        <f t="shared" si="6"/>
        <v>19.38</v>
      </c>
      <c r="P118" s="18">
        <f t="shared" si="7"/>
        <v>19.76</v>
      </c>
      <c r="R118" s="27"/>
    </row>
    <row r="119" spans="1:18" ht="15">
      <c r="A119" s="6">
        <v>4</v>
      </c>
      <c r="B119" s="3">
        <v>1</v>
      </c>
      <c r="C119" s="523">
        <v>1</v>
      </c>
      <c r="D119" s="523">
        <v>111</v>
      </c>
      <c r="E119" s="523"/>
      <c r="F119" s="4"/>
      <c r="G119" s="5"/>
      <c r="H119" s="5" t="s">
        <v>70</v>
      </c>
      <c r="I119" s="5"/>
      <c r="J119" s="5"/>
      <c r="K119" s="5"/>
      <c r="L119" s="73">
        <f>SUM(L109:L118)</f>
        <v>3798.6000000000004</v>
      </c>
      <c r="M119" s="506">
        <f>SUM(M109:M118)</f>
        <v>3783.6000000000004</v>
      </c>
      <c r="N119" s="520">
        <f>SUM(N109:N118)</f>
        <v>3832</v>
      </c>
      <c r="O119" s="520">
        <f t="shared" si="6"/>
        <v>3908.64</v>
      </c>
      <c r="P119" s="133">
        <f t="shared" si="7"/>
        <v>3985.28</v>
      </c>
      <c r="R119" s="27"/>
    </row>
    <row r="120" spans="1:17" ht="15">
      <c r="A120" s="19">
        <v>4</v>
      </c>
      <c r="B120" s="524">
        <v>2</v>
      </c>
      <c r="C120" s="521" t="s">
        <v>25</v>
      </c>
      <c r="D120" s="521"/>
      <c r="E120" s="521"/>
      <c r="F120" s="20"/>
      <c r="G120" s="21" t="s">
        <v>345</v>
      </c>
      <c r="H120" s="21"/>
      <c r="I120" s="21"/>
      <c r="J120" s="21"/>
      <c r="K120" s="21"/>
      <c r="L120" s="91"/>
      <c r="M120" s="91"/>
      <c r="N120" s="539"/>
      <c r="O120" s="361">
        <f t="shared" si="6"/>
        <v>0</v>
      </c>
      <c r="P120" s="362">
        <f t="shared" si="7"/>
        <v>0</v>
      </c>
      <c r="Q120" s="375">
        <v>0.1</v>
      </c>
    </row>
    <row r="121" spans="1:16" ht="15">
      <c r="A121" s="132">
        <v>4</v>
      </c>
      <c r="B121" s="7">
        <v>2</v>
      </c>
      <c r="C121" s="55">
        <v>1</v>
      </c>
      <c r="D121" s="55">
        <v>41</v>
      </c>
      <c r="E121" s="55">
        <v>611</v>
      </c>
      <c r="F121" s="8"/>
      <c r="G121" s="9"/>
      <c r="H121" s="9" t="s">
        <v>8</v>
      </c>
      <c r="I121" s="9"/>
      <c r="J121" s="9"/>
      <c r="K121" s="9"/>
      <c r="L121" s="46">
        <v>10100</v>
      </c>
      <c r="M121" s="46">
        <v>10008.91</v>
      </c>
      <c r="N121" s="519">
        <v>10900</v>
      </c>
      <c r="O121" s="11">
        <f t="shared" si="6"/>
        <v>11118</v>
      </c>
      <c r="P121" s="18">
        <f t="shared" si="7"/>
        <v>11336</v>
      </c>
    </row>
    <row r="122" spans="1:16" ht="15">
      <c r="A122" s="106"/>
      <c r="B122" s="107"/>
      <c r="C122" s="96"/>
      <c r="D122" s="96"/>
      <c r="E122" s="96">
        <v>614</v>
      </c>
      <c r="F122" s="108"/>
      <c r="G122" s="10"/>
      <c r="H122" s="10" t="s">
        <v>9</v>
      </c>
      <c r="I122" s="10"/>
      <c r="J122" s="10"/>
      <c r="K122" s="10"/>
      <c r="L122" s="56">
        <v>2200</v>
      </c>
      <c r="M122" s="56">
        <v>850</v>
      </c>
      <c r="N122" s="539">
        <v>1000</v>
      </c>
      <c r="O122" s="11">
        <f t="shared" si="6"/>
        <v>1020</v>
      </c>
      <c r="P122" s="18">
        <f t="shared" si="7"/>
        <v>1040</v>
      </c>
    </row>
    <row r="123" spans="1:16" ht="15">
      <c r="A123" s="132"/>
      <c r="B123" s="7"/>
      <c r="C123" s="55"/>
      <c r="D123" s="55"/>
      <c r="E123" s="55">
        <v>621</v>
      </c>
      <c r="F123" s="8"/>
      <c r="G123" s="9"/>
      <c r="H123" s="9" t="s">
        <v>71</v>
      </c>
      <c r="I123" s="9"/>
      <c r="J123" s="9"/>
      <c r="K123" s="9"/>
      <c r="L123" s="46">
        <v>1230</v>
      </c>
      <c r="M123" s="46">
        <v>1128.38</v>
      </c>
      <c r="N123" s="519">
        <f>(N121+N122)*10%</f>
        <v>1190</v>
      </c>
      <c r="O123" s="11">
        <f t="shared" si="6"/>
        <v>1213.8</v>
      </c>
      <c r="P123" s="18">
        <f t="shared" si="7"/>
        <v>1237.6</v>
      </c>
    </row>
    <row r="124" spans="1:16" ht="15">
      <c r="A124" s="106"/>
      <c r="B124" s="107"/>
      <c r="C124" s="96"/>
      <c r="D124" s="96"/>
      <c r="E124" s="96">
        <v>625</v>
      </c>
      <c r="F124" s="108" t="s">
        <v>10</v>
      </c>
      <c r="G124" s="10"/>
      <c r="H124" s="10" t="s">
        <v>15</v>
      </c>
      <c r="I124" s="10"/>
      <c r="J124" s="10"/>
      <c r="K124" s="10"/>
      <c r="L124" s="56">
        <v>172</v>
      </c>
      <c r="M124" s="56">
        <v>141.93</v>
      </c>
      <c r="N124" s="539">
        <v>173</v>
      </c>
      <c r="O124" s="11">
        <f t="shared" si="6"/>
        <v>176.46</v>
      </c>
      <c r="P124" s="18">
        <f t="shared" si="7"/>
        <v>179.92</v>
      </c>
    </row>
    <row r="125" spans="1:16" ht="15">
      <c r="A125" s="132"/>
      <c r="B125" s="7"/>
      <c r="C125" s="55"/>
      <c r="D125" s="55"/>
      <c r="E125" s="55">
        <v>625</v>
      </c>
      <c r="F125" s="8" t="s">
        <v>11</v>
      </c>
      <c r="G125" s="9"/>
      <c r="H125" s="9" t="s">
        <v>16</v>
      </c>
      <c r="I125" s="9"/>
      <c r="J125" s="9"/>
      <c r="K125" s="9"/>
      <c r="L125" s="46">
        <v>1520</v>
      </c>
      <c r="M125" s="46">
        <v>1520.22</v>
      </c>
      <c r="N125" s="519">
        <f>(N121+N122)*14%</f>
        <v>1666.0000000000002</v>
      </c>
      <c r="O125" s="11">
        <f t="shared" si="6"/>
        <v>1699.3200000000002</v>
      </c>
      <c r="P125" s="18">
        <f t="shared" si="7"/>
        <v>1732.6400000000003</v>
      </c>
    </row>
    <row r="126" spans="1:16" ht="15">
      <c r="A126" s="106"/>
      <c r="B126" s="107"/>
      <c r="C126" s="96"/>
      <c r="D126" s="96"/>
      <c r="E126" s="96">
        <v>625</v>
      </c>
      <c r="F126" s="108" t="s">
        <v>12</v>
      </c>
      <c r="G126" s="10"/>
      <c r="H126" s="10" t="s">
        <v>17</v>
      </c>
      <c r="I126" s="10"/>
      <c r="J126" s="10"/>
      <c r="K126" s="10"/>
      <c r="L126" s="56">
        <v>98</v>
      </c>
      <c r="M126" s="56">
        <v>86.87</v>
      </c>
      <c r="N126" s="539">
        <v>99</v>
      </c>
      <c r="O126" s="11">
        <f t="shared" si="6"/>
        <v>100.98</v>
      </c>
      <c r="P126" s="18">
        <f t="shared" si="7"/>
        <v>102.96</v>
      </c>
    </row>
    <row r="127" spans="1:16" ht="15">
      <c r="A127" s="132"/>
      <c r="B127" s="7"/>
      <c r="C127" s="55"/>
      <c r="D127" s="55"/>
      <c r="E127" s="55">
        <v>625</v>
      </c>
      <c r="F127" s="8" t="s">
        <v>13</v>
      </c>
      <c r="G127" s="9"/>
      <c r="H127" s="9" t="s">
        <v>18</v>
      </c>
      <c r="I127" s="9"/>
      <c r="J127" s="9"/>
      <c r="K127" s="9"/>
      <c r="L127" s="46">
        <v>369</v>
      </c>
      <c r="M127" s="46">
        <v>325.76</v>
      </c>
      <c r="N127" s="519">
        <f>(N121+N122)*3%</f>
        <v>357</v>
      </c>
      <c r="O127" s="11">
        <f t="shared" si="6"/>
        <v>364.14</v>
      </c>
      <c r="P127" s="18">
        <f t="shared" si="7"/>
        <v>371.28</v>
      </c>
    </row>
    <row r="128" spans="1:16" ht="15">
      <c r="A128" s="106"/>
      <c r="B128" s="107"/>
      <c r="C128" s="96"/>
      <c r="D128" s="96"/>
      <c r="E128" s="96">
        <v>625</v>
      </c>
      <c r="F128" s="108" t="s">
        <v>19</v>
      </c>
      <c r="G128" s="10"/>
      <c r="H128" s="10" t="s">
        <v>20</v>
      </c>
      <c r="I128" s="10"/>
      <c r="J128" s="10"/>
      <c r="K128" s="10"/>
      <c r="L128" s="56">
        <v>123</v>
      </c>
      <c r="M128" s="56">
        <v>108.59</v>
      </c>
      <c r="N128" s="539">
        <f>(N121+N122)*1%</f>
        <v>119</v>
      </c>
      <c r="O128" s="11">
        <f t="shared" si="6"/>
        <v>121.38</v>
      </c>
      <c r="P128" s="18">
        <f t="shared" si="7"/>
        <v>123.76</v>
      </c>
    </row>
    <row r="129" spans="1:16" ht="15">
      <c r="A129" s="132"/>
      <c r="B129" s="7"/>
      <c r="C129" s="55"/>
      <c r="D129" s="55"/>
      <c r="E129" s="55">
        <v>625</v>
      </c>
      <c r="F129" s="8" t="s">
        <v>21</v>
      </c>
      <c r="G129" s="9"/>
      <c r="H129" s="9" t="s">
        <v>22</v>
      </c>
      <c r="I129" s="9"/>
      <c r="J129" s="9"/>
      <c r="K129" s="9"/>
      <c r="L129" s="46">
        <v>584</v>
      </c>
      <c r="M129" s="46">
        <v>515.74</v>
      </c>
      <c r="N129" s="519">
        <v>585</v>
      </c>
      <c r="O129" s="11">
        <f t="shared" si="6"/>
        <v>596.7</v>
      </c>
      <c r="P129" s="18">
        <f t="shared" si="7"/>
        <v>608.4</v>
      </c>
    </row>
    <row r="130" spans="1:16" ht="15">
      <c r="A130" s="106"/>
      <c r="B130" s="107"/>
      <c r="C130" s="96"/>
      <c r="D130" s="96"/>
      <c r="E130" s="96">
        <v>627</v>
      </c>
      <c r="F130" s="108"/>
      <c r="G130" s="10"/>
      <c r="H130" s="10" t="s">
        <v>23</v>
      </c>
      <c r="I130" s="10"/>
      <c r="J130" s="10"/>
      <c r="K130" s="10"/>
      <c r="L130" s="56">
        <v>369</v>
      </c>
      <c r="M130" s="56">
        <v>425.1</v>
      </c>
      <c r="N130" s="539">
        <f>(N121+N122)*3%</f>
        <v>357</v>
      </c>
      <c r="O130" s="11">
        <f t="shared" si="6"/>
        <v>364.14</v>
      </c>
      <c r="P130" s="18">
        <f t="shared" si="7"/>
        <v>371.28</v>
      </c>
    </row>
    <row r="131" spans="1:16" ht="15">
      <c r="A131" s="132"/>
      <c r="B131" s="7"/>
      <c r="C131" s="55"/>
      <c r="D131" s="55"/>
      <c r="E131" s="55">
        <v>631</v>
      </c>
      <c r="F131" s="8" t="s">
        <v>10</v>
      </c>
      <c r="G131" s="9"/>
      <c r="H131" s="9" t="s">
        <v>27</v>
      </c>
      <c r="I131" s="9"/>
      <c r="J131" s="9"/>
      <c r="K131" s="9"/>
      <c r="L131" s="46">
        <v>2</v>
      </c>
      <c r="M131" s="46">
        <v>2.2</v>
      </c>
      <c r="N131" s="519">
        <v>5</v>
      </c>
      <c r="O131" s="11">
        <f>N131+N131*$O$107</f>
        <v>5.1</v>
      </c>
      <c r="P131" s="18">
        <f>N131+N131*$P$107</f>
        <v>5.2</v>
      </c>
    </row>
    <row r="132" spans="1:16" ht="15">
      <c r="A132" s="132"/>
      <c r="B132" s="7"/>
      <c r="C132" s="55"/>
      <c r="D132" s="55"/>
      <c r="E132" s="55">
        <v>632</v>
      </c>
      <c r="F132" s="8" t="s">
        <v>12</v>
      </c>
      <c r="G132" s="9"/>
      <c r="H132" s="9" t="s">
        <v>69</v>
      </c>
      <c r="I132" s="9"/>
      <c r="J132" s="9"/>
      <c r="K132" s="9"/>
      <c r="L132" s="46">
        <v>281</v>
      </c>
      <c r="M132" s="46">
        <v>251.3</v>
      </c>
      <c r="N132" s="519">
        <v>100</v>
      </c>
      <c r="O132" s="11">
        <f t="shared" si="6"/>
        <v>102</v>
      </c>
      <c r="P132" s="18">
        <f t="shared" si="7"/>
        <v>104</v>
      </c>
    </row>
    <row r="133" spans="1:18" ht="15">
      <c r="A133" s="106"/>
      <c r="B133" s="107"/>
      <c r="C133" s="96"/>
      <c r="D133" s="96"/>
      <c r="E133" s="96">
        <v>633</v>
      </c>
      <c r="F133" s="108" t="s">
        <v>29</v>
      </c>
      <c r="G133" s="10"/>
      <c r="H133" s="10" t="s">
        <v>30</v>
      </c>
      <c r="I133" s="10"/>
      <c r="J133" s="10"/>
      <c r="K133" s="10"/>
      <c r="L133" s="56">
        <v>79</v>
      </c>
      <c r="M133" s="56">
        <v>70.44</v>
      </c>
      <c r="N133" s="539">
        <v>60</v>
      </c>
      <c r="O133" s="11">
        <f t="shared" si="6"/>
        <v>61.2</v>
      </c>
      <c r="P133" s="18">
        <f t="shared" si="7"/>
        <v>62.4</v>
      </c>
      <c r="R133" s="24" t="s">
        <v>691</v>
      </c>
    </row>
    <row r="134" spans="1:16" ht="15">
      <c r="A134" s="6">
        <v>4</v>
      </c>
      <c r="B134" s="3">
        <v>2</v>
      </c>
      <c r="C134" s="523">
        <v>1</v>
      </c>
      <c r="D134" s="523">
        <v>41</v>
      </c>
      <c r="E134" s="523"/>
      <c r="F134" s="4"/>
      <c r="G134" s="5"/>
      <c r="H134" s="5" t="s">
        <v>49</v>
      </c>
      <c r="I134" s="5"/>
      <c r="J134" s="5"/>
      <c r="K134" s="5"/>
      <c r="L134" s="73">
        <f>SUM(L121:L133)</f>
        <v>17127</v>
      </c>
      <c r="M134" s="73">
        <f>SUM(M121:M133)</f>
        <v>15435.440000000002</v>
      </c>
      <c r="N134" s="520">
        <f>SUM(N121:N133)</f>
        <v>16611</v>
      </c>
      <c r="O134" s="14">
        <f t="shared" si="6"/>
        <v>16943.22</v>
      </c>
      <c r="P134" s="133">
        <f t="shared" si="7"/>
        <v>17275.44</v>
      </c>
    </row>
    <row r="135" spans="1:16" ht="15">
      <c r="A135" s="19">
        <v>4</v>
      </c>
      <c r="B135" s="524">
        <v>3</v>
      </c>
      <c r="C135" s="521" t="s">
        <v>25</v>
      </c>
      <c r="D135" s="521"/>
      <c r="E135" s="521"/>
      <c r="F135" s="20"/>
      <c r="G135" s="21" t="s">
        <v>72</v>
      </c>
      <c r="H135" s="21"/>
      <c r="I135" s="21"/>
      <c r="J135" s="10"/>
      <c r="K135" s="10"/>
      <c r="L135" s="56"/>
      <c r="M135" s="56"/>
      <c r="N135" s="539"/>
      <c r="O135" s="11">
        <f t="shared" si="6"/>
        <v>0</v>
      </c>
      <c r="P135" s="18">
        <f t="shared" si="7"/>
        <v>0</v>
      </c>
    </row>
    <row r="136" spans="1:16" ht="15">
      <c r="A136" s="132">
        <v>4</v>
      </c>
      <c r="B136" s="7">
        <v>3</v>
      </c>
      <c r="C136" s="55">
        <v>1</v>
      </c>
      <c r="D136" s="55">
        <v>111</v>
      </c>
      <c r="E136" s="55">
        <v>611</v>
      </c>
      <c r="F136" s="8"/>
      <c r="G136" s="9"/>
      <c r="H136" s="9" t="s">
        <v>8</v>
      </c>
      <c r="I136" s="9"/>
      <c r="J136" s="9"/>
      <c r="K136" s="9"/>
      <c r="L136" s="46">
        <v>542.4</v>
      </c>
      <c r="M136" s="46">
        <v>542.4</v>
      </c>
      <c r="N136" s="519">
        <v>543</v>
      </c>
      <c r="O136" s="11">
        <f t="shared" si="6"/>
        <v>553.86</v>
      </c>
      <c r="P136" s="18">
        <f t="shared" si="7"/>
        <v>564.72</v>
      </c>
    </row>
    <row r="137" spans="1:16" ht="15">
      <c r="A137" s="106"/>
      <c r="B137" s="107"/>
      <c r="C137" s="96"/>
      <c r="D137" s="96"/>
      <c r="E137" s="96">
        <v>621</v>
      </c>
      <c r="F137" s="108"/>
      <c r="G137" s="10"/>
      <c r="H137" s="10" t="s">
        <v>71</v>
      </c>
      <c r="I137" s="10"/>
      <c r="J137" s="10"/>
      <c r="K137" s="10"/>
      <c r="L137" s="56">
        <v>54.24</v>
      </c>
      <c r="M137" s="56">
        <v>54.24</v>
      </c>
      <c r="N137" s="539">
        <v>55</v>
      </c>
      <c r="O137" s="11">
        <f t="shared" si="6"/>
        <v>56.1</v>
      </c>
      <c r="P137" s="18">
        <f t="shared" si="7"/>
        <v>57.2</v>
      </c>
    </row>
    <row r="138" spans="1:16" ht="15">
      <c r="A138" s="132"/>
      <c r="B138" s="7"/>
      <c r="C138" s="55"/>
      <c r="D138" s="55"/>
      <c r="E138" s="55">
        <v>625</v>
      </c>
      <c r="F138" s="8" t="s">
        <v>10</v>
      </c>
      <c r="G138" s="9"/>
      <c r="H138" s="9" t="s">
        <v>15</v>
      </c>
      <c r="I138" s="9"/>
      <c r="J138" s="9"/>
      <c r="K138" s="9"/>
      <c r="L138" s="46">
        <v>7.59</v>
      </c>
      <c r="M138" s="46">
        <v>7.59</v>
      </c>
      <c r="N138" s="519">
        <v>8</v>
      </c>
      <c r="O138" s="11">
        <f t="shared" si="6"/>
        <v>8.16</v>
      </c>
      <c r="P138" s="18">
        <f t="shared" si="7"/>
        <v>8.32</v>
      </c>
    </row>
    <row r="139" spans="1:16" ht="15">
      <c r="A139" s="106"/>
      <c r="B139" s="107"/>
      <c r="C139" s="96"/>
      <c r="D139" s="96"/>
      <c r="E139" s="96">
        <v>625</v>
      </c>
      <c r="F139" s="108" t="s">
        <v>11</v>
      </c>
      <c r="G139" s="10"/>
      <c r="H139" s="10" t="s">
        <v>16</v>
      </c>
      <c r="I139" s="10"/>
      <c r="J139" s="10"/>
      <c r="K139" s="10"/>
      <c r="L139" s="56">
        <v>75.94</v>
      </c>
      <c r="M139" s="56">
        <v>75.94</v>
      </c>
      <c r="N139" s="539">
        <v>76</v>
      </c>
      <c r="O139" s="11">
        <f t="shared" si="6"/>
        <v>77.52</v>
      </c>
      <c r="P139" s="18">
        <f t="shared" si="7"/>
        <v>79.04</v>
      </c>
    </row>
    <row r="140" spans="1:16" ht="15">
      <c r="A140" s="132"/>
      <c r="B140" s="7"/>
      <c r="C140" s="55"/>
      <c r="D140" s="55"/>
      <c r="E140" s="55">
        <v>625</v>
      </c>
      <c r="F140" s="8" t="s">
        <v>12</v>
      </c>
      <c r="G140" s="9"/>
      <c r="H140" s="9" t="s">
        <v>17</v>
      </c>
      <c r="I140" s="9"/>
      <c r="J140" s="9"/>
      <c r="K140" s="9"/>
      <c r="L140" s="46">
        <v>4.34</v>
      </c>
      <c r="M140" s="46">
        <v>4.34</v>
      </c>
      <c r="N140" s="519">
        <v>4</v>
      </c>
      <c r="O140" s="11">
        <f t="shared" si="6"/>
        <v>4.08</v>
      </c>
      <c r="P140" s="18">
        <f t="shared" si="7"/>
        <v>4.16</v>
      </c>
    </row>
    <row r="141" spans="1:16" ht="15">
      <c r="A141" s="106"/>
      <c r="B141" s="107"/>
      <c r="C141" s="96"/>
      <c r="D141" s="96"/>
      <c r="E141" s="96">
        <v>625</v>
      </c>
      <c r="F141" s="108" t="s">
        <v>13</v>
      </c>
      <c r="G141" s="10"/>
      <c r="H141" s="10" t="s">
        <v>18</v>
      </c>
      <c r="I141" s="10"/>
      <c r="J141" s="10"/>
      <c r="K141" s="10"/>
      <c r="L141" s="56">
        <v>16.27</v>
      </c>
      <c r="M141" s="56">
        <v>16.27</v>
      </c>
      <c r="N141" s="539">
        <v>17</v>
      </c>
      <c r="O141" s="11">
        <f t="shared" si="6"/>
        <v>17.34</v>
      </c>
      <c r="P141" s="18">
        <f t="shared" si="7"/>
        <v>17.68</v>
      </c>
    </row>
    <row r="142" spans="1:16" ht="15">
      <c r="A142" s="132"/>
      <c r="B142" s="7"/>
      <c r="C142" s="55"/>
      <c r="D142" s="55"/>
      <c r="E142" s="55">
        <v>625</v>
      </c>
      <c r="F142" s="8" t="s">
        <v>19</v>
      </c>
      <c r="G142" s="9"/>
      <c r="H142" s="9" t="s">
        <v>20</v>
      </c>
      <c r="I142" s="9"/>
      <c r="J142" s="9"/>
      <c r="K142" s="9"/>
      <c r="L142" s="46">
        <v>5.42</v>
      </c>
      <c r="M142" s="46">
        <v>5.42</v>
      </c>
      <c r="N142" s="519">
        <v>6</v>
      </c>
      <c r="O142" s="11">
        <f t="shared" si="6"/>
        <v>6.12</v>
      </c>
      <c r="P142" s="18">
        <f t="shared" si="7"/>
        <v>6.24</v>
      </c>
    </row>
    <row r="143" spans="1:16" ht="15">
      <c r="A143" s="106"/>
      <c r="B143" s="107"/>
      <c r="C143" s="96"/>
      <c r="D143" s="96"/>
      <c r="E143" s="96">
        <v>625</v>
      </c>
      <c r="F143" s="108" t="s">
        <v>21</v>
      </c>
      <c r="G143" s="10"/>
      <c r="H143" s="10" t="s">
        <v>22</v>
      </c>
      <c r="I143" s="10"/>
      <c r="J143" s="10"/>
      <c r="K143" s="10"/>
      <c r="L143" s="56">
        <v>25.76</v>
      </c>
      <c r="M143" s="56">
        <v>25.76</v>
      </c>
      <c r="N143" s="539">
        <v>26</v>
      </c>
      <c r="O143" s="11">
        <f t="shared" si="6"/>
        <v>26.52</v>
      </c>
      <c r="P143" s="18">
        <f t="shared" si="7"/>
        <v>27.04</v>
      </c>
    </row>
    <row r="144" spans="1:16" ht="15">
      <c r="A144" s="132"/>
      <c r="B144" s="7"/>
      <c r="C144" s="55"/>
      <c r="D144" s="55"/>
      <c r="E144" s="55">
        <v>632</v>
      </c>
      <c r="F144" s="8" t="s">
        <v>12</v>
      </c>
      <c r="G144" s="9"/>
      <c r="H144" s="9" t="s">
        <v>69</v>
      </c>
      <c r="I144" s="9"/>
      <c r="J144" s="9"/>
      <c r="K144" s="9"/>
      <c r="L144" s="46">
        <v>20.6</v>
      </c>
      <c r="M144" s="46">
        <v>20.6</v>
      </c>
      <c r="N144" s="519">
        <v>21</v>
      </c>
      <c r="O144" s="11">
        <f>N144+N144*$O$107</f>
        <v>21.42</v>
      </c>
      <c r="P144" s="18">
        <f>N144+N144*$P$107</f>
        <v>21.84</v>
      </c>
    </row>
    <row r="145" spans="1:16" ht="15">
      <c r="A145" s="132"/>
      <c r="B145" s="7"/>
      <c r="C145" s="55"/>
      <c r="D145" s="55"/>
      <c r="E145" s="55">
        <v>633</v>
      </c>
      <c r="F145" s="8" t="s">
        <v>29</v>
      </c>
      <c r="G145" s="9"/>
      <c r="H145" s="9" t="s">
        <v>30</v>
      </c>
      <c r="I145" s="9"/>
      <c r="J145" s="9"/>
      <c r="K145" s="9"/>
      <c r="L145" s="46">
        <v>4.46</v>
      </c>
      <c r="M145" s="46">
        <v>4.46</v>
      </c>
      <c r="N145" s="519">
        <v>5</v>
      </c>
      <c r="O145" s="11">
        <f t="shared" si="6"/>
        <v>5.1</v>
      </c>
      <c r="P145" s="18">
        <f t="shared" si="7"/>
        <v>5.2</v>
      </c>
    </row>
    <row r="146" spans="1:16" ht="15">
      <c r="A146" s="19">
        <v>4</v>
      </c>
      <c r="B146" s="524">
        <v>3</v>
      </c>
      <c r="C146" s="521">
        <v>1</v>
      </c>
      <c r="D146" s="521">
        <v>111</v>
      </c>
      <c r="E146" s="521"/>
      <c r="F146" s="20"/>
      <c r="G146" s="21"/>
      <c r="H146" s="21" t="s">
        <v>420</v>
      </c>
      <c r="I146" s="21"/>
      <c r="J146" s="21"/>
      <c r="K146" s="21"/>
      <c r="L146" s="91">
        <f>SUM(L136:L145)</f>
        <v>757.0200000000001</v>
      </c>
      <c r="M146" s="91">
        <f>SUM(M136:M145)</f>
        <v>757.0200000000001</v>
      </c>
      <c r="N146" s="686">
        <f>SUM(N136:N145)</f>
        <v>761</v>
      </c>
      <c r="O146" s="14">
        <f t="shared" si="6"/>
        <v>776.22</v>
      </c>
      <c r="P146" s="133">
        <f t="shared" si="7"/>
        <v>791.44</v>
      </c>
    </row>
    <row r="147" spans="1:16" ht="15">
      <c r="A147" s="6">
        <v>4</v>
      </c>
      <c r="B147" s="3">
        <v>4</v>
      </c>
      <c r="C147" s="523" t="s">
        <v>25</v>
      </c>
      <c r="D147" s="523"/>
      <c r="E147" s="523"/>
      <c r="F147" s="4"/>
      <c r="G147" s="5" t="s">
        <v>73</v>
      </c>
      <c r="H147" s="5"/>
      <c r="I147" s="5"/>
      <c r="J147" s="5"/>
      <c r="K147" s="5"/>
      <c r="L147" s="73"/>
      <c r="M147" s="73"/>
      <c r="N147" s="519"/>
      <c r="O147" s="11">
        <f t="shared" si="6"/>
        <v>0</v>
      </c>
      <c r="P147" s="18">
        <f t="shared" si="7"/>
        <v>0</v>
      </c>
    </row>
    <row r="148" spans="1:16" ht="15">
      <c r="A148" s="106">
        <v>4</v>
      </c>
      <c r="B148" s="107">
        <v>4</v>
      </c>
      <c r="C148" s="96">
        <v>1</v>
      </c>
      <c r="D148" s="96">
        <v>41</v>
      </c>
      <c r="E148" s="96">
        <v>625</v>
      </c>
      <c r="F148" s="108" t="s">
        <v>12</v>
      </c>
      <c r="G148" s="10"/>
      <c r="H148" s="10" t="s">
        <v>17</v>
      </c>
      <c r="I148" s="10"/>
      <c r="J148" s="10"/>
      <c r="K148" s="10"/>
      <c r="L148" s="56">
        <v>1</v>
      </c>
      <c r="M148" s="56">
        <v>0.28</v>
      </c>
      <c r="N148" s="539">
        <v>1</v>
      </c>
      <c r="O148" s="11">
        <f t="shared" si="6"/>
        <v>1.02</v>
      </c>
      <c r="P148" s="18">
        <f t="shared" si="7"/>
        <v>1.04</v>
      </c>
    </row>
    <row r="149" spans="1:16" ht="15">
      <c r="A149" s="132"/>
      <c r="B149" s="7"/>
      <c r="C149" s="55"/>
      <c r="D149" s="55"/>
      <c r="E149" s="55">
        <v>632</v>
      </c>
      <c r="F149" s="8" t="s">
        <v>10</v>
      </c>
      <c r="G149" s="9"/>
      <c r="H149" s="9" t="s">
        <v>74</v>
      </c>
      <c r="I149" s="9"/>
      <c r="J149" s="9"/>
      <c r="K149" s="9"/>
      <c r="L149" s="46">
        <v>2000</v>
      </c>
      <c r="M149" s="46">
        <v>415.36</v>
      </c>
      <c r="N149" s="519">
        <v>500</v>
      </c>
      <c r="O149" s="11">
        <f t="shared" si="6"/>
        <v>510</v>
      </c>
      <c r="P149" s="18">
        <f t="shared" si="7"/>
        <v>520</v>
      </c>
    </row>
    <row r="150" spans="1:16" ht="15">
      <c r="A150" s="106"/>
      <c r="B150" s="107"/>
      <c r="C150" s="96"/>
      <c r="D150" s="96"/>
      <c r="E150" s="96">
        <v>633</v>
      </c>
      <c r="F150" s="108" t="s">
        <v>29</v>
      </c>
      <c r="G150" s="10"/>
      <c r="H150" s="10" t="s">
        <v>75</v>
      </c>
      <c r="I150" s="10"/>
      <c r="J150" s="10"/>
      <c r="K150" s="10"/>
      <c r="L150" s="56">
        <v>500</v>
      </c>
      <c r="M150" s="56">
        <v>252.11</v>
      </c>
      <c r="N150" s="539">
        <v>2500</v>
      </c>
      <c r="O150" s="11">
        <f t="shared" si="6"/>
        <v>2550</v>
      </c>
      <c r="P150" s="18">
        <f t="shared" si="7"/>
        <v>2600</v>
      </c>
    </row>
    <row r="151" spans="1:16" ht="15">
      <c r="A151" s="132"/>
      <c r="B151" s="7"/>
      <c r="C151" s="55"/>
      <c r="D151" s="55"/>
      <c r="E151" s="55">
        <v>633</v>
      </c>
      <c r="F151" s="8" t="s">
        <v>76</v>
      </c>
      <c r="G151" s="9"/>
      <c r="H151" s="9" t="s">
        <v>77</v>
      </c>
      <c r="I151" s="9"/>
      <c r="J151" s="9"/>
      <c r="K151" s="9"/>
      <c r="L151" s="46">
        <v>600</v>
      </c>
      <c r="M151" s="46">
        <v>387.49</v>
      </c>
      <c r="N151" s="519">
        <v>600</v>
      </c>
      <c r="O151" s="11">
        <f t="shared" si="6"/>
        <v>612</v>
      </c>
      <c r="P151" s="18">
        <f t="shared" si="7"/>
        <v>624</v>
      </c>
    </row>
    <row r="152" spans="1:16" ht="15">
      <c r="A152" s="106"/>
      <c r="B152" s="107"/>
      <c r="C152" s="96"/>
      <c r="D152" s="96"/>
      <c r="E152" s="96">
        <v>635</v>
      </c>
      <c r="F152" s="108" t="s">
        <v>13</v>
      </c>
      <c r="G152" s="10"/>
      <c r="H152" s="10" t="s">
        <v>451</v>
      </c>
      <c r="I152" s="10"/>
      <c r="J152" s="10"/>
      <c r="K152" s="10"/>
      <c r="L152" s="56">
        <v>2000</v>
      </c>
      <c r="M152" s="56">
        <v>960</v>
      </c>
      <c r="N152" s="539">
        <v>2000</v>
      </c>
      <c r="O152" s="11">
        <f t="shared" si="6"/>
        <v>2040</v>
      </c>
      <c r="P152" s="18">
        <f t="shared" si="7"/>
        <v>2080</v>
      </c>
    </row>
    <row r="153" spans="1:16" ht="15">
      <c r="A153" s="106"/>
      <c r="B153" s="107"/>
      <c r="C153" s="96"/>
      <c r="D153" s="96"/>
      <c r="E153" s="96">
        <v>637</v>
      </c>
      <c r="F153" s="108" t="s">
        <v>13</v>
      </c>
      <c r="G153" s="10"/>
      <c r="H153" s="10" t="s">
        <v>78</v>
      </c>
      <c r="I153" s="10"/>
      <c r="J153" s="10"/>
      <c r="K153" s="10"/>
      <c r="L153" s="56">
        <v>1200</v>
      </c>
      <c r="M153" s="56">
        <v>39</v>
      </c>
      <c r="N153" s="539">
        <v>200</v>
      </c>
      <c r="O153" s="11">
        <f t="shared" si="6"/>
        <v>204</v>
      </c>
      <c r="P153" s="18">
        <f t="shared" si="7"/>
        <v>208</v>
      </c>
    </row>
    <row r="154" spans="1:16" ht="15">
      <c r="A154" s="132"/>
      <c r="B154" s="7"/>
      <c r="C154" s="55"/>
      <c r="D154" s="55"/>
      <c r="E154" s="55">
        <v>637</v>
      </c>
      <c r="F154" s="8" t="s">
        <v>57</v>
      </c>
      <c r="G154" s="9"/>
      <c r="H154" s="9" t="s">
        <v>79</v>
      </c>
      <c r="I154" s="9"/>
      <c r="J154" s="9"/>
      <c r="K154" s="9"/>
      <c r="L154" s="46">
        <v>100</v>
      </c>
      <c r="M154" s="46">
        <v>35</v>
      </c>
      <c r="N154" s="519">
        <v>100</v>
      </c>
      <c r="O154" s="11">
        <f t="shared" si="6"/>
        <v>102</v>
      </c>
      <c r="P154" s="18">
        <f t="shared" si="7"/>
        <v>104</v>
      </c>
    </row>
    <row r="155" spans="1:16" ht="15">
      <c r="A155" s="19">
        <v>4</v>
      </c>
      <c r="B155" s="524">
        <v>4</v>
      </c>
      <c r="C155" s="521"/>
      <c r="D155" s="521"/>
      <c r="E155" s="521"/>
      <c r="F155" s="20"/>
      <c r="G155" s="21"/>
      <c r="H155" s="21" t="s">
        <v>84</v>
      </c>
      <c r="I155" s="21"/>
      <c r="J155" s="21"/>
      <c r="K155" s="21"/>
      <c r="L155" s="91">
        <f>SUM(L148:L154)</f>
        <v>6401</v>
      </c>
      <c r="M155" s="91">
        <f>SUM(M148:M154)</f>
        <v>2089.24</v>
      </c>
      <c r="N155" s="686">
        <f>SUM(N148:N154)</f>
        <v>5901</v>
      </c>
      <c r="O155" s="14">
        <f t="shared" si="6"/>
        <v>6019.02</v>
      </c>
      <c r="P155" s="133">
        <f t="shared" si="7"/>
        <v>6137.04</v>
      </c>
    </row>
    <row r="156" spans="1:16" ht="15">
      <c r="A156" s="6">
        <v>4</v>
      </c>
      <c r="B156" s="3">
        <v>5</v>
      </c>
      <c r="C156" s="523" t="s">
        <v>25</v>
      </c>
      <c r="D156" s="523"/>
      <c r="E156" s="523"/>
      <c r="F156" s="4"/>
      <c r="G156" s="5" t="s">
        <v>80</v>
      </c>
      <c r="H156" s="5"/>
      <c r="I156" s="5"/>
      <c r="J156" s="9"/>
      <c r="K156" s="9"/>
      <c r="L156" s="46"/>
      <c r="M156" s="46"/>
      <c r="N156" s="519"/>
      <c r="O156" s="11">
        <f t="shared" si="6"/>
        <v>0</v>
      </c>
      <c r="P156" s="18">
        <f t="shared" si="7"/>
        <v>0</v>
      </c>
    </row>
    <row r="157" spans="1:16" ht="15">
      <c r="A157" s="106">
        <v>4</v>
      </c>
      <c r="B157" s="107">
        <v>5</v>
      </c>
      <c r="C157" s="96">
        <v>1</v>
      </c>
      <c r="D157" s="96">
        <v>41</v>
      </c>
      <c r="E157" s="96">
        <v>633</v>
      </c>
      <c r="F157" s="108" t="s">
        <v>29</v>
      </c>
      <c r="G157" s="10"/>
      <c r="H157" s="10" t="s">
        <v>81</v>
      </c>
      <c r="I157" s="10"/>
      <c r="J157" s="10"/>
      <c r="K157" s="10"/>
      <c r="L157" s="56">
        <v>1000</v>
      </c>
      <c r="M157" s="56">
        <v>29.89</v>
      </c>
      <c r="N157" s="539">
        <v>1200</v>
      </c>
      <c r="O157" s="11">
        <f t="shared" si="6"/>
        <v>1224</v>
      </c>
      <c r="P157" s="18">
        <f t="shared" si="7"/>
        <v>1248</v>
      </c>
    </row>
    <row r="158" spans="1:16" ht="15">
      <c r="A158" s="132"/>
      <c r="B158" s="7"/>
      <c r="C158" s="55"/>
      <c r="D158" s="55"/>
      <c r="E158" s="55">
        <v>635</v>
      </c>
      <c r="F158" s="8" t="s">
        <v>29</v>
      </c>
      <c r="G158" s="9"/>
      <c r="H158" s="9" t="s">
        <v>82</v>
      </c>
      <c r="I158" s="9"/>
      <c r="J158" s="9"/>
      <c r="K158" s="9"/>
      <c r="L158" s="46">
        <v>1000</v>
      </c>
      <c r="M158" s="46">
        <v>0</v>
      </c>
      <c r="N158" s="519">
        <v>200</v>
      </c>
      <c r="O158" s="11">
        <f t="shared" si="6"/>
        <v>204</v>
      </c>
      <c r="P158" s="18">
        <f t="shared" si="7"/>
        <v>208</v>
      </c>
    </row>
    <row r="159" spans="1:16" ht="15">
      <c r="A159" s="19">
        <v>4</v>
      </c>
      <c r="B159" s="524">
        <v>5</v>
      </c>
      <c r="C159" s="521"/>
      <c r="D159" s="521"/>
      <c r="E159" s="521"/>
      <c r="F159" s="20"/>
      <c r="G159" s="21"/>
      <c r="H159" s="21" t="s">
        <v>83</v>
      </c>
      <c r="I159" s="21"/>
      <c r="J159" s="21"/>
      <c r="K159" s="21"/>
      <c r="L159" s="91">
        <f>SUM(L157:L158)</f>
        <v>2000</v>
      </c>
      <c r="M159" s="91">
        <f>SUM(M157:M158)</f>
        <v>29.89</v>
      </c>
      <c r="N159" s="686">
        <f>SUM(N157:N158)</f>
        <v>1400</v>
      </c>
      <c r="O159" s="14">
        <f t="shared" si="6"/>
        <v>1428</v>
      </c>
      <c r="P159" s="133">
        <f t="shared" si="7"/>
        <v>1456</v>
      </c>
    </row>
    <row r="160" spans="1:16" ht="15">
      <c r="A160" s="192">
        <v>4</v>
      </c>
      <c r="B160" s="193"/>
      <c r="C160" s="194"/>
      <c r="D160" s="194"/>
      <c r="E160" s="194"/>
      <c r="F160" s="195"/>
      <c r="G160" s="196"/>
      <c r="H160" s="196" t="s">
        <v>356</v>
      </c>
      <c r="I160" s="196"/>
      <c r="J160" s="196"/>
      <c r="K160" s="196"/>
      <c r="L160" s="440">
        <f>L119+L134+L146+L155+L159</f>
        <v>30083.62</v>
      </c>
      <c r="M160" s="440">
        <f>M119+M134+M146+M155+M159</f>
        <v>22095.190000000002</v>
      </c>
      <c r="N160" s="688">
        <f>N119+N134+N146+N155+$N$159</f>
        <v>28505</v>
      </c>
      <c r="O160" s="197">
        <f>O119+O134+O146+O155+O159</f>
        <v>29075.100000000002</v>
      </c>
      <c r="P160" s="198">
        <f>P119+P134+P146+P155+P159</f>
        <v>29645.199999999997</v>
      </c>
    </row>
    <row r="161" spans="1:16" ht="15">
      <c r="A161" s="19">
        <v>5</v>
      </c>
      <c r="B161" s="738" t="s">
        <v>24</v>
      </c>
      <c r="C161" s="738"/>
      <c r="D161" s="738"/>
      <c r="E161" s="738"/>
      <c r="F161" s="20" t="s">
        <v>85</v>
      </c>
      <c r="G161" s="21"/>
      <c r="H161" s="21"/>
      <c r="I161" s="21"/>
      <c r="J161" s="10"/>
      <c r="K161" s="10"/>
      <c r="L161" s="56"/>
      <c r="M161" s="56"/>
      <c r="N161" s="539"/>
      <c r="O161" s="13">
        <v>0.02</v>
      </c>
      <c r="P161" s="17">
        <v>0.04</v>
      </c>
    </row>
    <row r="162" spans="1:16" ht="15">
      <c r="A162" s="132">
        <v>5</v>
      </c>
      <c r="B162" s="7">
        <v>1</v>
      </c>
      <c r="C162" s="55" t="s">
        <v>25</v>
      </c>
      <c r="D162" s="55"/>
      <c r="E162" s="55"/>
      <c r="F162" s="8"/>
      <c r="G162" s="9" t="s">
        <v>86</v>
      </c>
      <c r="H162" s="9"/>
      <c r="I162" s="9"/>
      <c r="J162" s="9"/>
      <c r="K162" s="9"/>
      <c r="L162" s="46"/>
      <c r="M162" s="46"/>
      <c r="N162" s="519"/>
      <c r="O162" s="11"/>
      <c r="P162" s="18"/>
    </row>
    <row r="163" spans="1:16" ht="15">
      <c r="A163" s="106" t="s">
        <v>0</v>
      </c>
      <c r="B163" s="107" t="s">
        <v>1</v>
      </c>
      <c r="C163" s="96" t="s">
        <v>2</v>
      </c>
      <c r="D163" s="96" t="s">
        <v>3</v>
      </c>
      <c r="E163" s="96" t="s">
        <v>4</v>
      </c>
      <c r="F163" s="108" t="s">
        <v>5</v>
      </c>
      <c r="G163" s="10" t="s">
        <v>6</v>
      </c>
      <c r="H163" s="10" t="s">
        <v>7</v>
      </c>
      <c r="I163" s="10"/>
      <c r="J163" s="10"/>
      <c r="K163" s="10"/>
      <c r="L163" s="56"/>
      <c r="M163" s="56"/>
      <c r="N163" s="539"/>
      <c r="O163" s="13"/>
      <c r="P163" s="17"/>
    </row>
    <row r="164" spans="1:16" ht="15">
      <c r="A164" s="132">
        <v>5</v>
      </c>
      <c r="B164" s="7">
        <v>1</v>
      </c>
      <c r="C164" s="55">
        <v>1</v>
      </c>
      <c r="D164" s="55">
        <v>41</v>
      </c>
      <c r="E164" s="55">
        <v>637</v>
      </c>
      <c r="F164" s="8" t="s">
        <v>57</v>
      </c>
      <c r="G164" s="9"/>
      <c r="H164" s="9" t="s">
        <v>87</v>
      </c>
      <c r="I164" s="9"/>
      <c r="J164" s="9"/>
      <c r="K164" s="9"/>
      <c r="L164" s="46">
        <v>348</v>
      </c>
      <c r="M164" s="46">
        <v>0</v>
      </c>
      <c r="N164" s="519">
        <v>348</v>
      </c>
      <c r="O164" s="11">
        <f>N164+N164*$O$161</f>
        <v>354.96</v>
      </c>
      <c r="P164" s="18">
        <f>N164+N164*$P$161</f>
        <v>361.92</v>
      </c>
    </row>
    <row r="165" spans="1:16" ht="15">
      <c r="A165" s="19">
        <v>5</v>
      </c>
      <c r="B165" s="524">
        <v>1</v>
      </c>
      <c r="C165" s="521"/>
      <c r="D165" s="521"/>
      <c r="E165" s="521"/>
      <c r="F165" s="20"/>
      <c r="G165" s="21"/>
      <c r="H165" s="21" t="s">
        <v>88</v>
      </c>
      <c r="I165" s="21"/>
      <c r="J165" s="21"/>
      <c r="K165" s="21"/>
      <c r="L165" s="91">
        <f>L164</f>
        <v>348</v>
      </c>
      <c r="M165" s="91">
        <f>M164</f>
        <v>0</v>
      </c>
      <c r="N165" s="686">
        <f>N164</f>
        <v>348</v>
      </c>
      <c r="O165" s="14">
        <f aca="true" t="shared" si="8" ref="O165:O186">N165+N165*$O$161</f>
        <v>354.96</v>
      </c>
      <c r="P165" s="133">
        <f aca="true" t="shared" si="9" ref="P165:P186">N165+N165*$P$161</f>
        <v>361.92</v>
      </c>
    </row>
    <row r="166" spans="1:18" ht="15">
      <c r="A166" s="6">
        <v>5</v>
      </c>
      <c r="B166" s="3">
        <v>2</v>
      </c>
      <c r="C166" s="523" t="s">
        <v>25</v>
      </c>
      <c r="D166" s="523"/>
      <c r="E166" s="523"/>
      <c r="F166" s="4"/>
      <c r="G166" s="5" t="s">
        <v>89</v>
      </c>
      <c r="H166" s="5"/>
      <c r="I166" s="5"/>
      <c r="J166" s="5"/>
      <c r="K166" s="5"/>
      <c r="L166" s="73"/>
      <c r="M166" s="73"/>
      <c r="N166" s="519"/>
      <c r="O166" s="11">
        <f t="shared" si="8"/>
        <v>0</v>
      </c>
      <c r="P166" s="18">
        <f t="shared" si="9"/>
        <v>0</v>
      </c>
      <c r="R166" s="24" t="s">
        <v>692</v>
      </c>
    </row>
    <row r="167" spans="1:16" ht="15">
      <c r="A167" s="106">
        <v>5</v>
      </c>
      <c r="B167" s="107">
        <v>2</v>
      </c>
      <c r="C167" s="96">
        <v>1</v>
      </c>
      <c r="D167" s="96">
        <v>41</v>
      </c>
      <c r="E167" s="96">
        <v>625</v>
      </c>
      <c r="F167" s="108" t="s">
        <v>12</v>
      </c>
      <c r="G167" s="10"/>
      <c r="H167" s="10" t="s">
        <v>17</v>
      </c>
      <c r="I167" s="10"/>
      <c r="J167" s="10"/>
      <c r="K167" s="10"/>
      <c r="L167" s="56">
        <v>6</v>
      </c>
      <c r="M167" s="56">
        <v>0</v>
      </c>
      <c r="N167" s="539">
        <v>0</v>
      </c>
      <c r="O167" s="11">
        <f t="shared" si="8"/>
        <v>0</v>
      </c>
      <c r="P167" s="18">
        <f t="shared" si="9"/>
        <v>0</v>
      </c>
    </row>
    <row r="168" spans="1:16" ht="15">
      <c r="A168" s="132"/>
      <c r="B168" s="7"/>
      <c r="C168" s="55"/>
      <c r="D168" s="55"/>
      <c r="E168" s="55">
        <v>632</v>
      </c>
      <c r="F168" s="8" t="s">
        <v>10</v>
      </c>
      <c r="G168" s="9"/>
      <c r="H168" s="9" t="s">
        <v>453</v>
      </c>
      <c r="I168" s="9"/>
      <c r="J168" s="9"/>
      <c r="K168" s="9"/>
      <c r="L168" s="46">
        <v>300</v>
      </c>
      <c r="M168" s="46">
        <v>283.91</v>
      </c>
      <c r="N168" s="519">
        <v>300</v>
      </c>
      <c r="O168" s="11">
        <f t="shared" si="8"/>
        <v>306</v>
      </c>
      <c r="P168" s="18">
        <f t="shared" si="9"/>
        <v>312</v>
      </c>
    </row>
    <row r="169" spans="1:16" ht="15">
      <c r="A169" s="132"/>
      <c r="B169" s="7"/>
      <c r="C169" s="55"/>
      <c r="D169" s="55"/>
      <c r="E169" s="55">
        <v>632</v>
      </c>
      <c r="F169" s="8" t="s">
        <v>10</v>
      </c>
      <c r="G169" s="9"/>
      <c r="H169" s="9" t="s">
        <v>452</v>
      </c>
      <c r="I169" s="9"/>
      <c r="J169" s="9"/>
      <c r="K169" s="9"/>
      <c r="L169" s="46">
        <v>1243</v>
      </c>
      <c r="M169" s="46">
        <v>1242.62</v>
      </c>
      <c r="N169" s="519">
        <v>1200</v>
      </c>
      <c r="O169" s="11">
        <f t="shared" si="8"/>
        <v>1224</v>
      </c>
      <c r="P169" s="18">
        <f t="shared" si="9"/>
        <v>1248</v>
      </c>
    </row>
    <row r="170" spans="1:16" ht="15">
      <c r="A170" s="132"/>
      <c r="B170" s="7"/>
      <c r="C170" s="55"/>
      <c r="D170" s="55"/>
      <c r="E170" s="55">
        <v>632</v>
      </c>
      <c r="F170" s="8" t="s">
        <v>11</v>
      </c>
      <c r="G170" s="9"/>
      <c r="H170" s="9" t="s">
        <v>90</v>
      </c>
      <c r="I170" s="9"/>
      <c r="J170" s="9"/>
      <c r="K170" s="9"/>
      <c r="L170" s="46">
        <v>55</v>
      </c>
      <c r="M170" s="46">
        <v>14.21</v>
      </c>
      <c r="N170" s="519">
        <v>55</v>
      </c>
      <c r="O170" s="11">
        <f t="shared" si="8"/>
        <v>56.1</v>
      </c>
      <c r="P170" s="18">
        <f t="shared" si="9"/>
        <v>57.2</v>
      </c>
    </row>
    <row r="171" spans="1:16" ht="15">
      <c r="A171" s="106"/>
      <c r="B171" s="107"/>
      <c r="C171" s="96"/>
      <c r="D171" s="96"/>
      <c r="E171" s="96">
        <v>632</v>
      </c>
      <c r="F171" s="108" t="s">
        <v>12</v>
      </c>
      <c r="G171" s="10"/>
      <c r="H171" s="10" t="s">
        <v>455</v>
      </c>
      <c r="I171" s="10"/>
      <c r="J171" s="10"/>
      <c r="K171" s="10"/>
      <c r="L171" s="56">
        <v>17</v>
      </c>
      <c r="M171" s="56">
        <v>16.51</v>
      </c>
      <c r="N171" s="539">
        <v>12</v>
      </c>
      <c r="O171" s="12">
        <f t="shared" si="8"/>
        <v>12.24</v>
      </c>
      <c r="P171" s="22">
        <f t="shared" si="9"/>
        <v>12.48</v>
      </c>
    </row>
    <row r="172" spans="1:16" ht="15">
      <c r="A172" s="132"/>
      <c r="B172" s="7"/>
      <c r="C172" s="55"/>
      <c r="D172" s="55"/>
      <c r="E172" s="55">
        <v>633</v>
      </c>
      <c r="F172" s="8" t="s">
        <v>29</v>
      </c>
      <c r="G172" s="9"/>
      <c r="H172" s="9" t="s">
        <v>571</v>
      </c>
      <c r="I172" s="9"/>
      <c r="J172" s="9"/>
      <c r="K172" s="9"/>
      <c r="L172" s="46">
        <v>473</v>
      </c>
      <c r="M172" s="46">
        <v>267.97</v>
      </c>
      <c r="N172" s="519">
        <v>500</v>
      </c>
      <c r="O172" s="11">
        <f t="shared" si="8"/>
        <v>510</v>
      </c>
      <c r="P172" s="18">
        <f t="shared" si="9"/>
        <v>520</v>
      </c>
    </row>
    <row r="173" spans="1:16" ht="15">
      <c r="A173" s="106"/>
      <c r="B173" s="107"/>
      <c r="C173" s="96"/>
      <c r="D173" s="96"/>
      <c r="E173" s="96">
        <v>633</v>
      </c>
      <c r="F173" s="108" t="s">
        <v>109</v>
      </c>
      <c r="G173" s="10"/>
      <c r="H173" s="10" t="s">
        <v>339</v>
      </c>
      <c r="I173" s="10"/>
      <c r="J173" s="10"/>
      <c r="K173" s="10"/>
      <c r="L173" s="56">
        <v>2822</v>
      </c>
      <c r="M173" s="56">
        <v>2400</v>
      </c>
      <c r="N173" s="539">
        <v>1500</v>
      </c>
      <c r="O173" s="11">
        <f t="shared" si="8"/>
        <v>1530</v>
      </c>
      <c r="P173" s="18">
        <f t="shared" si="9"/>
        <v>1560</v>
      </c>
    </row>
    <row r="174" spans="1:16" ht="15">
      <c r="A174" s="132"/>
      <c r="B174" s="7"/>
      <c r="C174" s="55"/>
      <c r="D174" s="55"/>
      <c r="E174" s="55">
        <v>634</v>
      </c>
      <c r="F174" s="8" t="s">
        <v>10</v>
      </c>
      <c r="G174" s="9"/>
      <c r="H174" s="9" t="s">
        <v>91</v>
      </c>
      <c r="I174" s="9"/>
      <c r="J174" s="9"/>
      <c r="K174" s="9"/>
      <c r="L174" s="46">
        <v>100</v>
      </c>
      <c r="M174" s="46">
        <v>50.01</v>
      </c>
      <c r="N174" s="519">
        <v>150</v>
      </c>
      <c r="O174" s="11">
        <f t="shared" si="8"/>
        <v>153</v>
      </c>
      <c r="P174" s="18">
        <f t="shared" si="9"/>
        <v>156</v>
      </c>
    </row>
    <row r="175" spans="1:16" ht="15">
      <c r="A175" s="106"/>
      <c r="B175" s="107"/>
      <c r="C175" s="96"/>
      <c r="D175" s="96"/>
      <c r="E175" s="96">
        <v>635</v>
      </c>
      <c r="F175" s="108" t="s">
        <v>19</v>
      </c>
      <c r="G175" s="10"/>
      <c r="H175" s="10" t="s">
        <v>92</v>
      </c>
      <c r="I175" s="10"/>
      <c r="J175" s="10"/>
      <c r="K175" s="10"/>
      <c r="L175" s="56">
        <v>400</v>
      </c>
      <c r="M175" s="56">
        <v>93</v>
      </c>
      <c r="N175" s="539">
        <v>400</v>
      </c>
      <c r="O175" s="11">
        <f t="shared" si="8"/>
        <v>408</v>
      </c>
      <c r="P175" s="18">
        <f t="shared" si="9"/>
        <v>416</v>
      </c>
    </row>
    <row r="176" spans="1:16" ht="15">
      <c r="A176" s="132"/>
      <c r="B176" s="7"/>
      <c r="C176" s="55"/>
      <c r="D176" s="55"/>
      <c r="E176" s="55">
        <v>635</v>
      </c>
      <c r="F176" s="8" t="s">
        <v>29</v>
      </c>
      <c r="G176" s="9"/>
      <c r="H176" s="9" t="s">
        <v>93</v>
      </c>
      <c r="I176" s="9"/>
      <c r="J176" s="9"/>
      <c r="K176" s="9"/>
      <c r="L176" s="46">
        <v>950</v>
      </c>
      <c r="M176" s="46">
        <v>99.4</v>
      </c>
      <c r="N176" s="519">
        <v>1100</v>
      </c>
      <c r="O176" s="11">
        <f t="shared" si="8"/>
        <v>1122</v>
      </c>
      <c r="P176" s="18">
        <f t="shared" si="9"/>
        <v>1144</v>
      </c>
    </row>
    <row r="177" spans="1:16" ht="15">
      <c r="A177" s="106"/>
      <c r="B177" s="107"/>
      <c r="C177" s="96"/>
      <c r="D177" s="96"/>
      <c r="E177" s="96">
        <v>637</v>
      </c>
      <c r="F177" s="108" t="s">
        <v>13</v>
      </c>
      <c r="G177" s="10"/>
      <c r="H177" s="10" t="s">
        <v>94</v>
      </c>
      <c r="I177" s="10"/>
      <c r="J177" s="10"/>
      <c r="K177" s="10"/>
      <c r="L177" s="56">
        <v>977</v>
      </c>
      <c r="M177" s="56">
        <v>976.09</v>
      </c>
      <c r="N177" s="539">
        <v>1500</v>
      </c>
      <c r="O177" s="11">
        <f t="shared" si="8"/>
        <v>1530</v>
      </c>
      <c r="P177" s="18">
        <f t="shared" si="9"/>
        <v>1560</v>
      </c>
    </row>
    <row r="178" spans="1:16" ht="15">
      <c r="A178" s="132"/>
      <c r="B178" s="7"/>
      <c r="C178" s="55"/>
      <c r="D178" s="55"/>
      <c r="E178" s="55">
        <v>637</v>
      </c>
      <c r="F178" s="8" t="s">
        <v>19</v>
      </c>
      <c r="G178" s="9"/>
      <c r="H178" s="9" t="s">
        <v>454</v>
      </c>
      <c r="I178" s="9"/>
      <c r="J178" s="9"/>
      <c r="K178" s="9"/>
      <c r="L178" s="46">
        <v>1330</v>
      </c>
      <c r="M178" s="46">
        <v>1329.28</v>
      </c>
      <c r="N178" s="519">
        <v>1400</v>
      </c>
      <c r="O178" s="11">
        <f t="shared" si="8"/>
        <v>1428</v>
      </c>
      <c r="P178" s="18">
        <f t="shared" si="9"/>
        <v>1456</v>
      </c>
    </row>
    <row r="179" spans="1:16" ht="15">
      <c r="A179" s="106"/>
      <c r="B179" s="107"/>
      <c r="C179" s="96"/>
      <c r="D179" s="96"/>
      <c r="E179" s="96">
        <v>637</v>
      </c>
      <c r="F179" s="108" t="s">
        <v>57</v>
      </c>
      <c r="G179" s="10"/>
      <c r="H179" s="10" t="s">
        <v>95</v>
      </c>
      <c r="I179" s="10"/>
      <c r="J179" s="10"/>
      <c r="K179" s="10"/>
      <c r="L179" s="56">
        <v>700</v>
      </c>
      <c r="M179" s="56">
        <v>0</v>
      </c>
      <c r="N179" s="539">
        <v>0</v>
      </c>
      <c r="O179" s="11">
        <f t="shared" si="8"/>
        <v>0</v>
      </c>
      <c r="P179" s="18">
        <f t="shared" si="9"/>
        <v>0</v>
      </c>
    </row>
    <row r="180" spans="1:16" ht="15">
      <c r="A180" s="6">
        <v>5</v>
      </c>
      <c r="B180" s="3">
        <v>2</v>
      </c>
      <c r="C180" s="523"/>
      <c r="D180" s="523"/>
      <c r="E180" s="523"/>
      <c r="F180" s="4"/>
      <c r="G180" s="5"/>
      <c r="H180" s="5" t="s">
        <v>96</v>
      </c>
      <c r="I180" s="5"/>
      <c r="J180" s="5"/>
      <c r="K180" s="5"/>
      <c r="L180" s="73">
        <f>SUM(L167:L179)</f>
        <v>9373</v>
      </c>
      <c r="M180" s="73">
        <f>SUM(M167:M179)</f>
        <v>6773</v>
      </c>
      <c r="N180" s="520">
        <f>SUM(N167:N179)</f>
        <v>8117</v>
      </c>
      <c r="O180" s="14">
        <f>SUM(O167:O179)</f>
        <v>8279.34</v>
      </c>
      <c r="P180" s="133">
        <f>SUM(P167:P179)</f>
        <v>8441.68</v>
      </c>
    </row>
    <row r="181" spans="1:16" ht="15">
      <c r="A181" s="132">
        <v>5</v>
      </c>
      <c r="B181" s="7">
        <v>3</v>
      </c>
      <c r="C181" s="55" t="s">
        <v>25</v>
      </c>
      <c r="D181" s="55"/>
      <c r="E181" s="55"/>
      <c r="F181" s="8"/>
      <c r="G181" s="9" t="s">
        <v>97</v>
      </c>
      <c r="H181" s="9"/>
      <c r="I181" s="9"/>
      <c r="J181" s="9"/>
      <c r="K181" s="9"/>
      <c r="L181" s="46"/>
      <c r="M181" s="46"/>
      <c r="N181" s="519"/>
      <c r="O181" s="11">
        <f t="shared" si="8"/>
        <v>0</v>
      </c>
      <c r="P181" s="18">
        <f>N181+N181*$P$161</f>
        <v>0</v>
      </c>
    </row>
    <row r="182" spans="1:16" ht="15">
      <c r="A182" s="132">
        <v>5</v>
      </c>
      <c r="B182" s="7">
        <v>3</v>
      </c>
      <c r="C182" s="55">
        <v>1</v>
      </c>
      <c r="D182" s="55">
        <v>111</v>
      </c>
      <c r="E182" s="55">
        <v>6</v>
      </c>
      <c r="F182" s="8"/>
      <c r="G182" s="9"/>
      <c r="H182" s="9" t="s">
        <v>487</v>
      </c>
      <c r="I182" s="9"/>
      <c r="J182" s="9"/>
      <c r="K182" s="9"/>
      <c r="L182" s="46">
        <v>96423.32</v>
      </c>
      <c r="M182" s="46">
        <v>96423.32</v>
      </c>
      <c r="N182" s="519">
        <v>31000</v>
      </c>
      <c r="O182" s="11">
        <f t="shared" si="8"/>
        <v>31620</v>
      </c>
      <c r="P182" s="22">
        <f>N182+N182*$P$161</f>
        <v>32240</v>
      </c>
    </row>
    <row r="183" spans="1:16" ht="15">
      <c r="A183" s="132">
        <v>5</v>
      </c>
      <c r="B183" s="7">
        <v>3</v>
      </c>
      <c r="C183" s="55">
        <v>1</v>
      </c>
      <c r="D183" s="55">
        <v>41</v>
      </c>
      <c r="E183" s="55">
        <v>6</v>
      </c>
      <c r="F183" s="8"/>
      <c r="G183" s="9"/>
      <c r="H183" s="9" t="s">
        <v>503</v>
      </c>
      <c r="I183" s="9"/>
      <c r="J183" s="9"/>
      <c r="K183" s="9"/>
      <c r="L183" s="46">
        <v>20000</v>
      </c>
      <c r="M183" s="46">
        <v>19779.37</v>
      </c>
      <c r="N183" s="519">
        <v>4000</v>
      </c>
      <c r="O183" s="11">
        <f t="shared" si="8"/>
        <v>4080</v>
      </c>
      <c r="P183" s="18">
        <f>N183+N183*$P$161</f>
        <v>4160</v>
      </c>
    </row>
    <row r="184" spans="1:16" ht="15">
      <c r="A184" s="106"/>
      <c r="B184" s="107"/>
      <c r="C184" s="96"/>
      <c r="D184" s="96"/>
      <c r="E184" s="96"/>
      <c r="F184" s="108"/>
      <c r="G184" s="10"/>
      <c r="H184" s="10" t="s">
        <v>49</v>
      </c>
      <c r="I184" s="10"/>
      <c r="J184" s="10"/>
      <c r="K184" s="10"/>
      <c r="L184" s="56">
        <f>SUM(L182:L183)</f>
        <v>116423.32</v>
      </c>
      <c r="M184" s="56">
        <f>SUM(M182:M183)</f>
        <v>116202.69</v>
      </c>
      <c r="N184" s="539">
        <f>SUM(N182:N183)</f>
        <v>35000</v>
      </c>
      <c r="O184" s="12">
        <f t="shared" si="8"/>
        <v>35700</v>
      </c>
      <c r="P184" s="18">
        <f>N184+N184*$P$161</f>
        <v>36400</v>
      </c>
    </row>
    <row r="185" spans="1:16" ht="15">
      <c r="A185" s="132">
        <v>5</v>
      </c>
      <c r="B185" s="7">
        <v>3</v>
      </c>
      <c r="C185" s="55">
        <v>1</v>
      </c>
      <c r="D185" s="55">
        <v>41</v>
      </c>
      <c r="E185" s="55">
        <v>717</v>
      </c>
      <c r="F185" s="8" t="s">
        <v>11</v>
      </c>
      <c r="G185" s="9"/>
      <c r="H185" s="9" t="s">
        <v>97</v>
      </c>
      <c r="I185" s="9"/>
      <c r="J185" s="9"/>
      <c r="K185" s="9"/>
      <c r="L185" s="46">
        <v>0</v>
      </c>
      <c r="M185" s="46">
        <v>411</v>
      </c>
      <c r="N185" s="519">
        <v>0</v>
      </c>
      <c r="O185" s="11">
        <f t="shared" si="8"/>
        <v>0</v>
      </c>
      <c r="P185" s="18">
        <f t="shared" si="9"/>
        <v>0</v>
      </c>
    </row>
    <row r="186" spans="1:16" ht="15">
      <c r="A186" s="157">
        <v>5</v>
      </c>
      <c r="B186" s="158">
        <v>3</v>
      </c>
      <c r="C186" s="118"/>
      <c r="D186" s="118"/>
      <c r="E186" s="118"/>
      <c r="F186" s="159"/>
      <c r="G186" s="117"/>
      <c r="H186" s="117" t="s">
        <v>437</v>
      </c>
      <c r="I186" s="117"/>
      <c r="J186" s="117"/>
      <c r="K186" s="117"/>
      <c r="L186" s="86">
        <f>L184+L185</f>
        <v>116423.32</v>
      </c>
      <c r="M186" s="86">
        <f>M184+M185</f>
        <v>116613.69</v>
      </c>
      <c r="N186" s="683">
        <f>N184+N185</f>
        <v>35000</v>
      </c>
      <c r="O186" s="11">
        <f t="shared" si="8"/>
        <v>35700</v>
      </c>
      <c r="P186" s="18">
        <f t="shared" si="9"/>
        <v>36400</v>
      </c>
    </row>
    <row r="187" spans="1:16" ht="15">
      <c r="A187" s="157">
        <v>5</v>
      </c>
      <c r="B187" s="158">
        <v>4</v>
      </c>
      <c r="C187" s="118" t="s">
        <v>25</v>
      </c>
      <c r="D187" s="118"/>
      <c r="E187" s="118"/>
      <c r="F187" s="159"/>
      <c r="G187" s="117" t="s">
        <v>97</v>
      </c>
      <c r="H187" s="117"/>
      <c r="I187" s="117"/>
      <c r="J187" s="117"/>
      <c r="K187" s="117"/>
      <c r="L187" s="86"/>
      <c r="M187" s="86"/>
      <c r="N187" s="683"/>
      <c r="O187" s="12">
        <f>N187+N187*$O$161</f>
        <v>0</v>
      </c>
      <c r="P187" s="22">
        <f>N187+N187*$P$161</f>
        <v>0</v>
      </c>
    </row>
    <row r="188" spans="1:16" ht="15">
      <c r="A188" s="132">
        <v>5</v>
      </c>
      <c r="B188" s="7">
        <v>4</v>
      </c>
      <c r="C188" s="55">
        <v>1</v>
      </c>
      <c r="D188" s="55">
        <v>111</v>
      </c>
      <c r="E188" s="55">
        <v>6</v>
      </c>
      <c r="F188" s="8"/>
      <c r="G188" s="9"/>
      <c r="H188" s="9" t="s">
        <v>487</v>
      </c>
      <c r="I188" s="9"/>
      <c r="J188" s="9"/>
      <c r="K188" s="9"/>
      <c r="L188" s="46">
        <v>8184.64</v>
      </c>
      <c r="M188" s="46">
        <v>8184.64</v>
      </c>
      <c r="N188" s="519">
        <v>0</v>
      </c>
      <c r="O188" s="11"/>
      <c r="P188" s="18"/>
    </row>
    <row r="189" spans="1:16" ht="15">
      <c r="A189" s="132">
        <v>5</v>
      </c>
      <c r="B189" s="7">
        <v>4</v>
      </c>
      <c r="C189" s="55">
        <v>1</v>
      </c>
      <c r="D189" s="55">
        <v>41</v>
      </c>
      <c r="E189" s="55">
        <v>6</v>
      </c>
      <c r="F189" s="8"/>
      <c r="G189" s="9"/>
      <c r="H189" s="9" t="s">
        <v>503</v>
      </c>
      <c r="I189" s="9"/>
      <c r="J189" s="9"/>
      <c r="K189" s="9"/>
      <c r="L189" s="46">
        <v>1760.13</v>
      </c>
      <c r="M189" s="46">
        <v>1760.13</v>
      </c>
      <c r="N189" s="519"/>
      <c r="O189" s="11"/>
      <c r="P189" s="18"/>
    </row>
    <row r="190" spans="1:16" ht="15">
      <c r="A190" s="132">
        <v>5</v>
      </c>
      <c r="B190" s="7">
        <v>4</v>
      </c>
      <c r="C190" s="55"/>
      <c r="D190" s="55"/>
      <c r="E190" s="55"/>
      <c r="F190" s="8"/>
      <c r="G190" s="9"/>
      <c r="H190" s="9" t="s">
        <v>49</v>
      </c>
      <c r="I190" s="9"/>
      <c r="J190" s="9"/>
      <c r="K190" s="9"/>
      <c r="L190" s="46">
        <f>SUM(L188:L189)</f>
        <v>9944.77</v>
      </c>
      <c r="M190" s="46">
        <f>SUM(M188:M189)</f>
        <v>9944.77</v>
      </c>
      <c r="N190" s="519"/>
      <c r="O190" s="125"/>
      <c r="P190" s="18"/>
    </row>
    <row r="191" spans="1:16" ht="15">
      <c r="A191" s="157">
        <v>5</v>
      </c>
      <c r="B191" s="158"/>
      <c r="C191" s="118"/>
      <c r="D191" s="118"/>
      <c r="E191" s="118"/>
      <c r="F191" s="159"/>
      <c r="G191" s="117"/>
      <c r="H191" s="117" t="s">
        <v>49</v>
      </c>
      <c r="I191" s="117"/>
      <c r="J191" s="117"/>
      <c r="K191" s="117"/>
      <c r="L191" s="86">
        <f>L165+L180+L184+L185+L190</f>
        <v>136089.09</v>
      </c>
      <c r="M191" s="86">
        <f>M165+M180+M184+M185+M190</f>
        <v>133331.46</v>
      </c>
      <c r="N191" s="683">
        <f>N165+N180+N184+N185+N190</f>
        <v>43465</v>
      </c>
      <c r="O191" s="529">
        <f>O165+O180+O184+O185+O190</f>
        <v>44334.3</v>
      </c>
      <c r="P191" s="22">
        <f>P165+P180+P184+P185+P190</f>
        <v>45203.6</v>
      </c>
    </row>
    <row r="192" spans="1:16" ht="15">
      <c r="A192" s="180">
        <v>6</v>
      </c>
      <c r="B192" s="749" t="s">
        <v>24</v>
      </c>
      <c r="C192" s="750"/>
      <c r="D192" s="750"/>
      <c r="E192" s="751"/>
      <c r="F192" s="181" t="s">
        <v>98</v>
      </c>
      <c r="G192" s="5"/>
      <c r="H192" s="5"/>
      <c r="I192" s="5"/>
      <c r="J192" s="9"/>
      <c r="K192" s="9"/>
      <c r="L192" s="46"/>
      <c r="M192" s="46"/>
      <c r="N192" s="519"/>
      <c r="O192" s="361">
        <v>0.02</v>
      </c>
      <c r="P192" s="362">
        <v>0.04</v>
      </c>
    </row>
    <row r="193" spans="1:16" ht="15">
      <c r="A193" s="106" t="s">
        <v>0</v>
      </c>
      <c r="B193" s="107" t="s">
        <v>1</v>
      </c>
      <c r="C193" s="96" t="s">
        <v>2</v>
      </c>
      <c r="D193" s="96" t="s">
        <v>3</v>
      </c>
      <c r="E193" s="96" t="s">
        <v>4</v>
      </c>
      <c r="F193" s="108" t="s">
        <v>5</v>
      </c>
      <c r="G193" s="10" t="s">
        <v>6</v>
      </c>
      <c r="H193" s="10" t="s">
        <v>7</v>
      </c>
      <c r="I193" s="10"/>
      <c r="J193" s="10"/>
      <c r="K193" s="10"/>
      <c r="L193" s="56"/>
      <c r="M193" s="56"/>
      <c r="N193" s="539"/>
      <c r="O193" s="13"/>
      <c r="P193" s="17"/>
    </row>
    <row r="194" spans="1:16" ht="15">
      <c r="A194" s="6">
        <v>6</v>
      </c>
      <c r="B194" s="3">
        <v>1</v>
      </c>
      <c r="C194" s="523" t="s">
        <v>25</v>
      </c>
      <c r="D194" s="523"/>
      <c r="E194" s="523"/>
      <c r="F194" s="4"/>
      <c r="G194" s="5" t="s">
        <v>99</v>
      </c>
      <c r="H194" s="5"/>
      <c r="I194" s="5"/>
      <c r="J194" s="5"/>
      <c r="K194" s="5"/>
      <c r="L194" s="73"/>
      <c r="M194" s="73"/>
      <c r="N194" s="519"/>
      <c r="O194" s="11"/>
      <c r="P194" s="18"/>
    </row>
    <row r="195" spans="1:16" ht="15">
      <c r="A195" s="132">
        <v>6</v>
      </c>
      <c r="B195" s="7">
        <v>1</v>
      </c>
      <c r="C195" s="55">
        <v>1</v>
      </c>
      <c r="D195" s="55">
        <v>41</v>
      </c>
      <c r="E195" s="55">
        <v>633</v>
      </c>
      <c r="F195" s="8" t="s">
        <v>29</v>
      </c>
      <c r="G195" s="9"/>
      <c r="H195" s="9" t="s">
        <v>100</v>
      </c>
      <c r="I195" s="9"/>
      <c r="J195" s="9"/>
      <c r="K195" s="9"/>
      <c r="L195" s="46">
        <v>1500</v>
      </c>
      <c r="M195" s="46">
        <v>0</v>
      </c>
      <c r="N195" s="519">
        <v>1000</v>
      </c>
      <c r="O195" s="11">
        <f>N195+N195*$O$192</f>
        <v>1020</v>
      </c>
      <c r="P195" s="18">
        <f>N195+N195*$P$192</f>
        <v>1040</v>
      </c>
    </row>
    <row r="196" spans="1:16" ht="15">
      <c r="A196" s="132"/>
      <c r="B196" s="7"/>
      <c r="C196" s="55"/>
      <c r="D196" s="109"/>
      <c r="E196" s="55">
        <v>633</v>
      </c>
      <c r="F196" s="8" t="s">
        <v>29</v>
      </c>
      <c r="G196" s="9"/>
      <c r="H196" s="9" t="s">
        <v>572</v>
      </c>
      <c r="I196" s="9"/>
      <c r="J196" s="9"/>
      <c r="K196" s="9"/>
      <c r="L196" s="46">
        <v>4500</v>
      </c>
      <c r="M196" s="46">
        <v>3147.76</v>
      </c>
      <c r="N196" s="519">
        <v>2500</v>
      </c>
      <c r="O196" s="11">
        <f>N196+N196*$O$192</f>
        <v>2550</v>
      </c>
      <c r="P196" s="18">
        <f>N196+N196*$P$192</f>
        <v>2600</v>
      </c>
    </row>
    <row r="197" spans="1:16" ht="15">
      <c r="A197" s="132"/>
      <c r="B197" s="7"/>
      <c r="C197" s="55"/>
      <c r="D197" s="55"/>
      <c r="E197" s="55">
        <v>636</v>
      </c>
      <c r="F197" s="8" t="s">
        <v>11</v>
      </c>
      <c r="G197" s="9"/>
      <c r="H197" s="9" t="s">
        <v>101</v>
      </c>
      <c r="I197" s="9"/>
      <c r="J197" s="9"/>
      <c r="K197" s="9"/>
      <c r="L197" s="46">
        <v>180</v>
      </c>
      <c r="M197" s="46">
        <v>159</v>
      </c>
      <c r="N197" s="519">
        <v>180</v>
      </c>
      <c r="O197" s="110">
        <f aca="true" t="shared" si="10" ref="O197:O223">N197+N197*$O$192</f>
        <v>183.6</v>
      </c>
      <c r="P197" s="18">
        <f aca="true" t="shared" si="11" ref="P197:P223">N197+N197*$P$192</f>
        <v>187.2</v>
      </c>
    </row>
    <row r="198" spans="1:16" ht="15">
      <c r="A198" s="106"/>
      <c r="B198" s="107"/>
      <c r="C198" s="96"/>
      <c r="D198" s="96"/>
      <c r="E198" s="96">
        <v>637</v>
      </c>
      <c r="F198" s="108" t="s">
        <v>13</v>
      </c>
      <c r="G198" s="10"/>
      <c r="H198" s="10" t="s">
        <v>102</v>
      </c>
      <c r="I198" s="10"/>
      <c r="J198" s="10"/>
      <c r="K198" s="10"/>
      <c r="L198" s="56">
        <v>31000</v>
      </c>
      <c r="M198" s="56">
        <v>30392.62</v>
      </c>
      <c r="N198" s="539">
        <v>33000</v>
      </c>
      <c r="O198" s="110">
        <f t="shared" si="10"/>
        <v>33660</v>
      </c>
      <c r="P198" s="18">
        <f t="shared" si="11"/>
        <v>34320</v>
      </c>
    </row>
    <row r="199" spans="1:18" ht="15">
      <c r="A199" s="132"/>
      <c r="B199" s="7"/>
      <c r="C199" s="55"/>
      <c r="D199" s="55"/>
      <c r="E199" s="55">
        <v>637</v>
      </c>
      <c r="F199" s="8" t="s">
        <v>61</v>
      </c>
      <c r="G199" s="9"/>
      <c r="H199" s="9" t="s">
        <v>103</v>
      </c>
      <c r="I199" s="9"/>
      <c r="J199" s="9"/>
      <c r="K199" s="9"/>
      <c r="L199" s="46">
        <v>45000</v>
      </c>
      <c r="M199" s="46">
        <v>47105.92</v>
      </c>
      <c r="N199" s="519">
        <v>48000</v>
      </c>
      <c r="O199" s="11">
        <f t="shared" si="10"/>
        <v>48960</v>
      </c>
      <c r="P199" s="18">
        <f t="shared" si="11"/>
        <v>49920</v>
      </c>
      <c r="R199" s="24" t="s">
        <v>693</v>
      </c>
    </row>
    <row r="200" spans="1:16" ht="15">
      <c r="A200" s="19">
        <v>6</v>
      </c>
      <c r="B200" s="524">
        <v>1</v>
      </c>
      <c r="C200" s="521"/>
      <c r="D200" s="521"/>
      <c r="E200" s="521"/>
      <c r="F200" s="20"/>
      <c r="G200" s="21"/>
      <c r="H200" s="21" t="s">
        <v>104</v>
      </c>
      <c r="I200" s="21"/>
      <c r="J200" s="21"/>
      <c r="K200" s="21"/>
      <c r="L200" s="91">
        <f>SUM(L195:L199)</f>
        <v>82180</v>
      </c>
      <c r="M200" s="507">
        <f>SUM(M195:M199)</f>
        <v>80805.29999999999</v>
      </c>
      <c r="N200" s="686">
        <f>SUM(N195:N199)</f>
        <v>84680</v>
      </c>
      <c r="O200" s="201">
        <f t="shared" si="10"/>
        <v>86373.6</v>
      </c>
      <c r="P200" s="133">
        <f t="shared" si="11"/>
        <v>88067.2</v>
      </c>
    </row>
    <row r="201" spans="1:17" ht="15">
      <c r="A201" s="6">
        <v>6</v>
      </c>
      <c r="B201" s="3">
        <v>2</v>
      </c>
      <c r="C201" s="523" t="s">
        <v>25</v>
      </c>
      <c r="D201" s="523"/>
      <c r="E201" s="523"/>
      <c r="F201" s="4"/>
      <c r="G201" s="5" t="s">
        <v>105</v>
      </c>
      <c r="H201" s="5"/>
      <c r="I201" s="5"/>
      <c r="J201" s="5"/>
      <c r="K201" s="5"/>
      <c r="L201" s="73"/>
      <c r="M201" s="73"/>
      <c r="N201" s="519"/>
      <c r="O201" s="11">
        <f t="shared" si="10"/>
        <v>0</v>
      </c>
      <c r="P201" s="18">
        <f t="shared" si="11"/>
        <v>0</v>
      </c>
      <c r="Q201" s="92"/>
    </row>
    <row r="202" spans="1:19" ht="15">
      <c r="A202" s="132">
        <v>6</v>
      </c>
      <c r="B202" s="7">
        <v>2</v>
      </c>
      <c r="C202" s="55">
        <v>1</v>
      </c>
      <c r="D202" s="55">
        <v>41</v>
      </c>
      <c r="E202" s="55">
        <v>611</v>
      </c>
      <c r="F202" s="8"/>
      <c r="G202" s="9"/>
      <c r="H202" s="9" t="s">
        <v>8</v>
      </c>
      <c r="I202" s="9"/>
      <c r="J202" s="9"/>
      <c r="K202" s="117"/>
      <c r="L202" s="86">
        <v>24140</v>
      </c>
      <c r="M202" s="86">
        <v>20182.42</v>
      </c>
      <c r="N202" s="683">
        <v>22000</v>
      </c>
      <c r="O202" s="11">
        <f t="shared" si="10"/>
        <v>22440</v>
      </c>
      <c r="P202" s="18">
        <f t="shared" si="11"/>
        <v>22880</v>
      </c>
      <c r="R202" s="27"/>
      <c r="S202" s="78"/>
    </row>
    <row r="203" spans="1:16" ht="15">
      <c r="A203" s="106"/>
      <c r="B203" s="107"/>
      <c r="C203" s="96"/>
      <c r="D203" s="96"/>
      <c r="E203" s="96">
        <v>614</v>
      </c>
      <c r="F203" s="108"/>
      <c r="G203" s="10"/>
      <c r="H203" s="10" t="s">
        <v>9</v>
      </c>
      <c r="I203" s="10"/>
      <c r="J203" s="10"/>
      <c r="K203" s="10"/>
      <c r="L203" s="56">
        <v>2360</v>
      </c>
      <c r="M203" s="56">
        <v>2360</v>
      </c>
      <c r="N203" s="539">
        <v>3500</v>
      </c>
      <c r="O203" s="110">
        <f t="shared" si="10"/>
        <v>3570</v>
      </c>
      <c r="P203" s="18">
        <f t="shared" si="11"/>
        <v>3640</v>
      </c>
    </row>
    <row r="204" spans="1:16" ht="15">
      <c r="A204" s="132"/>
      <c r="B204" s="7"/>
      <c r="C204" s="55"/>
      <c r="D204" s="55"/>
      <c r="E204" s="55">
        <v>621</v>
      </c>
      <c r="F204" s="8"/>
      <c r="G204" s="9"/>
      <c r="H204" s="9" t="s">
        <v>106</v>
      </c>
      <c r="I204" s="9"/>
      <c r="J204" s="9"/>
      <c r="K204" s="9"/>
      <c r="L204" s="46">
        <v>2443</v>
      </c>
      <c r="M204" s="46">
        <v>2442.9</v>
      </c>
      <c r="N204" s="519">
        <f>(N202+N203)*10%</f>
        <v>2550</v>
      </c>
      <c r="O204" s="11">
        <f t="shared" si="10"/>
        <v>2601</v>
      </c>
      <c r="P204" s="18">
        <f t="shared" si="11"/>
        <v>2652</v>
      </c>
    </row>
    <row r="205" spans="1:16" ht="15">
      <c r="A205" s="106"/>
      <c r="B205" s="107"/>
      <c r="C205" s="96"/>
      <c r="D205" s="96"/>
      <c r="E205" s="96"/>
      <c r="F205" s="108"/>
      <c r="G205" s="10"/>
      <c r="H205" s="10" t="s">
        <v>504</v>
      </c>
      <c r="I205" s="10"/>
      <c r="J205" s="10"/>
      <c r="K205" s="10"/>
      <c r="L205" s="56">
        <v>0</v>
      </c>
      <c r="M205" s="56">
        <v>1000</v>
      </c>
      <c r="N205" s="539"/>
      <c r="O205" s="11"/>
      <c r="P205" s="18"/>
    </row>
    <row r="206" spans="1:16" ht="15">
      <c r="A206" s="132"/>
      <c r="B206" s="7"/>
      <c r="C206" s="55"/>
      <c r="D206" s="55"/>
      <c r="E206" s="55">
        <v>625</v>
      </c>
      <c r="F206" s="8" t="s">
        <v>10</v>
      </c>
      <c r="G206" s="9"/>
      <c r="H206" s="9" t="s">
        <v>15</v>
      </c>
      <c r="I206" s="9"/>
      <c r="J206" s="9"/>
      <c r="K206" s="9"/>
      <c r="L206" s="46">
        <v>357</v>
      </c>
      <c r="M206" s="46">
        <v>308.09</v>
      </c>
      <c r="N206" s="519">
        <f>(N202+N203)*1.4%</f>
        <v>356.99999999999994</v>
      </c>
      <c r="O206" s="11">
        <f t="shared" si="10"/>
        <v>364.13999999999993</v>
      </c>
      <c r="P206" s="18">
        <f t="shared" si="11"/>
        <v>371.2799999999999</v>
      </c>
    </row>
    <row r="207" spans="1:16" ht="15">
      <c r="A207" s="106"/>
      <c r="B207" s="107"/>
      <c r="C207" s="96"/>
      <c r="D207" s="96"/>
      <c r="E207" s="96">
        <v>625</v>
      </c>
      <c r="F207" s="108" t="s">
        <v>11</v>
      </c>
      <c r="G207" s="10"/>
      <c r="H207" s="10" t="s">
        <v>16</v>
      </c>
      <c r="I207" s="10"/>
      <c r="J207" s="10"/>
      <c r="K207" s="10"/>
      <c r="L207" s="56">
        <v>2409</v>
      </c>
      <c r="M207" s="56">
        <v>3163.06</v>
      </c>
      <c r="N207" s="539">
        <f>(N202+N203)*14%</f>
        <v>3570.0000000000005</v>
      </c>
      <c r="O207" s="11">
        <f t="shared" si="10"/>
        <v>3641.4000000000005</v>
      </c>
      <c r="P207" s="18">
        <f t="shared" si="11"/>
        <v>3712.8000000000006</v>
      </c>
    </row>
    <row r="208" spans="1:16" ht="15">
      <c r="A208" s="132"/>
      <c r="B208" s="7"/>
      <c r="C208" s="55"/>
      <c r="D208" s="55"/>
      <c r="E208" s="55">
        <v>625</v>
      </c>
      <c r="F208" s="8" t="s">
        <v>12</v>
      </c>
      <c r="G208" s="9"/>
      <c r="H208" s="9" t="s">
        <v>17</v>
      </c>
      <c r="I208" s="9"/>
      <c r="J208" s="9"/>
      <c r="K208" s="9"/>
      <c r="L208" s="46">
        <v>204</v>
      </c>
      <c r="M208" s="46">
        <v>196.51</v>
      </c>
      <c r="N208" s="519">
        <f>(N202+N203)*0.8%</f>
        <v>204</v>
      </c>
      <c r="O208" s="11">
        <f t="shared" si="10"/>
        <v>208.08</v>
      </c>
      <c r="P208" s="18">
        <f t="shared" si="11"/>
        <v>212.16</v>
      </c>
    </row>
    <row r="209" spans="1:16" ht="15">
      <c r="A209" s="106"/>
      <c r="B209" s="107"/>
      <c r="C209" s="96"/>
      <c r="D209" s="96"/>
      <c r="E209" s="96">
        <v>625</v>
      </c>
      <c r="F209" s="108" t="s">
        <v>13</v>
      </c>
      <c r="G209" s="10"/>
      <c r="H209" s="10" t="s">
        <v>18</v>
      </c>
      <c r="I209" s="10"/>
      <c r="J209" s="10"/>
      <c r="K209" s="10"/>
      <c r="L209" s="56">
        <v>765</v>
      </c>
      <c r="M209" s="56">
        <v>677.63</v>
      </c>
      <c r="N209" s="539">
        <f>(N202+N203)*3%</f>
        <v>765</v>
      </c>
      <c r="O209" s="11">
        <f t="shared" si="10"/>
        <v>780.3</v>
      </c>
      <c r="P209" s="18">
        <f t="shared" si="11"/>
        <v>795.6</v>
      </c>
    </row>
    <row r="210" spans="1:16" ht="15">
      <c r="A210" s="132"/>
      <c r="B210" s="7"/>
      <c r="C210" s="55"/>
      <c r="D210" s="55"/>
      <c r="E210" s="55">
        <v>625</v>
      </c>
      <c r="F210" s="8" t="s">
        <v>19</v>
      </c>
      <c r="G210" s="9"/>
      <c r="H210" s="9" t="s">
        <v>20</v>
      </c>
      <c r="I210" s="9"/>
      <c r="J210" s="9"/>
      <c r="K210" s="9"/>
      <c r="L210" s="46">
        <v>255</v>
      </c>
      <c r="M210" s="46">
        <v>149.64</v>
      </c>
      <c r="N210" s="519">
        <f>(N202+N203)*1%</f>
        <v>255</v>
      </c>
      <c r="O210" s="11">
        <f t="shared" si="10"/>
        <v>260.1</v>
      </c>
      <c r="P210" s="18">
        <f t="shared" si="11"/>
        <v>265.2</v>
      </c>
    </row>
    <row r="211" spans="1:16" ht="15">
      <c r="A211" s="106"/>
      <c r="B211" s="107"/>
      <c r="C211" s="96"/>
      <c r="D211" s="96"/>
      <c r="E211" s="96">
        <v>625</v>
      </c>
      <c r="F211" s="108" t="s">
        <v>21</v>
      </c>
      <c r="G211" s="10"/>
      <c r="H211" s="10" t="s">
        <v>22</v>
      </c>
      <c r="I211" s="10"/>
      <c r="J211" s="10"/>
      <c r="K211" s="10"/>
      <c r="L211" s="56">
        <v>1211</v>
      </c>
      <c r="M211" s="56">
        <v>1073.03</v>
      </c>
      <c r="N211" s="539">
        <v>1212</v>
      </c>
      <c r="O211" s="13">
        <f t="shared" si="10"/>
        <v>1236.24</v>
      </c>
      <c r="P211" s="17">
        <f t="shared" si="11"/>
        <v>1260.48</v>
      </c>
    </row>
    <row r="212" spans="1:16" ht="15">
      <c r="A212" s="132"/>
      <c r="B212" s="7"/>
      <c r="C212" s="55"/>
      <c r="D212" s="55"/>
      <c r="E212" s="55">
        <v>627</v>
      </c>
      <c r="F212" s="8"/>
      <c r="G212" s="9"/>
      <c r="H212" s="9" t="s">
        <v>573</v>
      </c>
      <c r="I212" s="9"/>
      <c r="J212" s="9"/>
      <c r="K212" s="9"/>
      <c r="L212" s="46">
        <v>0</v>
      </c>
      <c r="M212" s="46">
        <v>175.11</v>
      </c>
      <c r="N212" s="519">
        <v>120</v>
      </c>
      <c r="O212" s="11">
        <f>N212+N212*$O$192</f>
        <v>122.4</v>
      </c>
      <c r="P212" s="18">
        <f>N212+N212*$P$192</f>
        <v>124.8</v>
      </c>
    </row>
    <row r="213" spans="1:16" ht="15">
      <c r="A213" s="132"/>
      <c r="B213" s="7"/>
      <c r="C213" s="55"/>
      <c r="D213" s="55"/>
      <c r="E213" s="55">
        <v>632</v>
      </c>
      <c r="F213" s="8" t="s">
        <v>10</v>
      </c>
      <c r="G213" s="9"/>
      <c r="H213" s="9" t="s">
        <v>107</v>
      </c>
      <c r="I213" s="9"/>
      <c r="J213" s="9"/>
      <c r="K213" s="9"/>
      <c r="L213" s="46">
        <v>8500</v>
      </c>
      <c r="M213" s="46">
        <v>9016.87</v>
      </c>
      <c r="N213" s="519">
        <v>9000</v>
      </c>
      <c r="O213" s="12">
        <f t="shared" si="10"/>
        <v>9180</v>
      </c>
      <c r="P213" s="22">
        <f t="shared" si="11"/>
        <v>9360</v>
      </c>
    </row>
    <row r="214" spans="1:16" ht="15">
      <c r="A214" s="106"/>
      <c r="B214" s="107"/>
      <c r="C214" s="96"/>
      <c r="D214" s="96"/>
      <c r="E214" s="96">
        <v>632</v>
      </c>
      <c r="F214" s="108" t="s">
        <v>12</v>
      </c>
      <c r="G214" s="10"/>
      <c r="H214" s="10" t="s">
        <v>108</v>
      </c>
      <c r="I214" s="10"/>
      <c r="J214" s="10"/>
      <c r="K214" s="10"/>
      <c r="L214" s="56">
        <v>500</v>
      </c>
      <c r="M214" s="56">
        <v>734.1</v>
      </c>
      <c r="N214" s="539">
        <v>500</v>
      </c>
      <c r="O214" s="11">
        <f t="shared" si="10"/>
        <v>510</v>
      </c>
      <c r="P214" s="18">
        <f t="shared" si="11"/>
        <v>520</v>
      </c>
    </row>
    <row r="215" spans="1:16" ht="15">
      <c r="A215" s="132"/>
      <c r="B215" s="7"/>
      <c r="C215" s="55"/>
      <c r="D215" s="55"/>
      <c r="E215" s="55">
        <v>633</v>
      </c>
      <c r="F215" s="8" t="s">
        <v>29</v>
      </c>
      <c r="G215" s="9"/>
      <c r="H215" s="9" t="s">
        <v>30</v>
      </c>
      <c r="I215" s="9"/>
      <c r="J215" s="9"/>
      <c r="K215" s="9"/>
      <c r="L215" s="46">
        <v>200</v>
      </c>
      <c r="M215" s="46">
        <v>69.45</v>
      </c>
      <c r="N215" s="519">
        <v>200</v>
      </c>
      <c r="O215" s="11">
        <f t="shared" si="10"/>
        <v>204</v>
      </c>
      <c r="P215" s="18">
        <f t="shared" si="11"/>
        <v>208</v>
      </c>
    </row>
    <row r="216" spans="1:16" ht="15">
      <c r="A216" s="106"/>
      <c r="B216" s="107"/>
      <c r="C216" s="96"/>
      <c r="D216" s="96"/>
      <c r="E216" s="96">
        <v>633</v>
      </c>
      <c r="F216" s="108" t="s">
        <v>109</v>
      </c>
      <c r="G216" s="10"/>
      <c r="H216" s="10" t="s">
        <v>110</v>
      </c>
      <c r="I216" s="10"/>
      <c r="J216" s="10"/>
      <c r="K216" s="10"/>
      <c r="L216" s="56">
        <v>450</v>
      </c>
      <c r="M216" s="56">
        <v>181.83</v>
      </c>
      <c r="N216" s="539">
        <v>150</v>
      </c>
      <c r="O216" s="11">
        <f t="shared" si="10"/>
        <v>153</v>
      </c>
      <c r="P216" s="18">
        <f t="shared" si="11"/>
        <v>156</v>
      </c>
    </row>
    <row r="217" spans="1:16" ht="15">
      <c r="A217" s="132"/>
      <c r="B217" s="7"/>
      <c r="C217" s="55"/>
      <c r="D217" s="55"/>
      <c r="E217" s="55">
        <v>634</v>
      </c>
      <c r="F217" s="8" t="s">
        <v>10</v>
      </c>
      <c r="G217" s="9"/>
      <c r="H217" s="9" t="s">
        <v>111</v>
      </c>
      <c r="I217" s="9"/>
      <c r="J217" s="9"/>
      <c r="K217" s="9"/>
      <c r="L217" s="46">
        <v>100</v>
      </c>
      <c r="M217" s="46">
        <v>0</v>
      </c>
      <c r="N217" s="519">
        <v>100</v>
      </c>
      <c r="O217" s="110">
        <f t="shared" si="10"/>
        <v>102</v>
      </c>
      <c r="P217" s="18">
        <f t="shared" si="11"/>
        <v>104</v>
      </c>
    </row>
    <row r="218" spans="1:16" ht="15">
      <c r="A218" s="106"/>
      <c r="B218" s="107"/>
      <c r="C218" s="96"/>
      <c r="D218" s="96"/>
      <c r="E218" s="96">
        <v>635</v>
      </c>
      <c r="F218" s="108" t="s">
        <v>13</v>
      </c>
      <c r="G218" s="10"/>
      <c r="H218" s="10" t="s">
        <v>112</v>
      </c>
      <c r="I218" s="10"/>
      <c r="J218" s="10"/>
      <c r="K218" s="10"/>
      <c r="L218" s="56">
        <v>300</v>
      </c>
      <c r="M218" s="56">
        <v>0</v>
      </c>
      <c r="N218" s="539">
        <v>300</v>
      </c>
      <c r="O218" s="11">
        <f t="shared" si="10"/>
        <v>306</v>
      </c>
      <c r="P218" s="18">
        <f t="shared" si="11"/>
        <v>312</v>
      </c>
    </row>
    <row r="219" spans="1:16" ht="15">
      <c r="A219" s="132"/>
      <c r="B219" s="7"/>
      <c r="C219" s="55"/>
      <c r="D219" s="55"/>
      <c r="E219" s="55">
        <v>635</v>
      </c>
      <c r="F219" s="8" t="s">
        <v>29</v>
      </c>
      <c r="G219" s="9"/>
      <c r="H219" s="9" t="s">
        <v>574</v>
      </c>
      <c r="I219" s="9"/>
      <c r="J219" s="9"/>
      <c r="K219" s="9"/>
      <c r="L219" s="46">
        <v>1892</v>
      </c>
      <c r="M219" s="46">
        <v>2132.4</v>
      </c>
      <c r="N219" s="519">
        <v>100</v>
      </c>
      <c r="O219" s="110">
        <f>N219+N219*$O$192</f>
        <v>102</v>
      </c>
      <c r="P219" s="18">
        <f>N219+N219*$P$192</f>
        <v>104</v>
      </c>
    </row>
    <row r="220" spans="1:16" ht="15">
      <c r="A220" s="132"/>
      <c r="B220" s="7"/>
      <c r="C220" s="55"/>
      <c r="D220" s="55"/>
      <c r="E220" s="55">
        <v>637</v>
      </c>
      <c r="F220" s="8" t="s">
        <v>13</v>
      </c>
      <c r="G220" s="9"/>
      <c r="H220" s="9" t="s">
        <v>488</v>
      </c>
      <c r="I220" s="9"/>
      <c r="J220" s="9"/>
      <c r="K220" s="9"/>
      <c r="L220" s="46">
        <v>6608</v>
      </c>
      <c r="M220" s="46">
        <v>6607.05</v>
      </c>
      <c r="N220" s="519">
        <v>7000</v>
      </c>
      <c r="O220" s="11">
        <f t="shared" si="10"/>
        <v>7140</v>
      </c>
      <c r="P220" s="18">
        <f t="shared" si="11"/>
        <v>7280</v>
      </c>
    </row>
    <row r="221" spans="1:16" ht="15">
      <c r="A221" s="106"/>
      <c r="B221" s="107"/>
      <c r="C221" s="96"/>
      <c r="D221" s="96"/>
      <c r="E221" s="96">
        <v>637</v>
      </c>
      <c r="F221" s="108" t="s">
        <v>13</v>
      </c>
      <c r="G221" s="10"/>
      <c r="H221" s="10" t="s">
        <v>575</v>
      </c>
      <c r="I221" s="10"/>
      <c r="J221" s="10"/>
      <c r="K221" s="10"/>
      <c r="L221" s="56">
        <v>0</v>
      </c>
      <c r="M221" s="56">
        <v>1227.86</v>
      </c>
      <c r="N221" s="539">
        <v>300</v>
      </c>
      <c r="O221" s="11">
        <f>N221+N221*$O$192</f>
        <v>306</v>
      </c>
      <c r="P221" s="18">
        <f>N221+N221*$P$192</f>
        <v>312</v>
      </c>
    </row>
    <row r="222" spans="1:16" ht="15">
      <c r="A222" s="106"/>
      <c r="B222" s="107"/>
      <c r="C222" s="96"/>
      <c r="D222" s="96"/>
      <c r="E222" s="96">
        <v>637</v>
      </c>
      <c r="F222" s="108" t="s">
        <v>57</v>
      </c>
      <c r="G222" s="10"/>
      <c r="H222" s="10" t="s">
        <v>113</v>
      </c>
      <c r="I222" s="10"/>
      <c r="J222" s="10"/>
      <c r="K222" s="10"/>
      <c r="L222" s="56">
        <v>500</v>
      </c>
      <c r="M222" s="56">
        <v>1584.6</v>
      </c>
      <c r="N222" s="539">
        <v>0</v>
      </c>
      <c r="O222" s="11">
        <f t="shared" si="10"/>
        <v>0</v>
      </c>
      <c r="P222" s="18">
        <f t="shared" si="11"/>
        <v>0</v>
      </c>
    </row>
    <row r="223" spans="1:16" ht="15">
      <c r="A223" s="6">
        <v>6</v>
      </c>
      <c r="B223" s="3">
        <v>2</v>
      </c>
      <c r="C223" s="523"/>
      <c r="D223" s="523"/>
      <c r="E223" s="523"/>
      <c r="F223" s="4"/>
      <c r="G223" s="5"/>
      <c r="H223" s="5" t="s">
        <v>114</v>
      </c>
      <c r="I223" s="5"/>
      <c r="J223" s="5"/>
      <c r="K223" s="5"/>
      <c r="L223" s="73">
        <f>SUM(L202:L222)</f>
        <v>53194</v>
      </c>
      <c r="M223" s="73">
        <f>SUM(M202:M222)</f>
        <v>53282.55</v>
      </c>
      <c r="N223" s="520">
        <f>SUM(N202:N222)</f>
        <v>52183</v>
      </c>
      <c r="O223" s="14">
        <f t="shared" si="10"/>
        <v>53226.66</v>
      </c>
      <c r="P223" s="133">
        <f t="shared" si="11"/>
        <v>54270.32</v>
      </c>
    </row>
    <row r="224" spans="1:16" ht="15">
      <c r="A224" s="106">
        <v>6</v>
      </c>
      <c r="B224" s="107">
        <v>2</v>
      </c>
      <c r="C224" s="96">
        <v>2</v>
      </c>
      <c r="D224" s="96">
        <v>41</v>
      </c>
      <c r="E224" s="96">
        <v>716</v>
      </c>
      <c r="F224" s="108"/>
      <c r="G224" s="10"/>
      <c r="H224" s="10" t="s">
        <v>576</v>
      </c>
      <c r="I224" s="10"/>
      <c r="J224" s="10"/>
      <c r="K224" s="10"/>
      <c r="L224" s="56">
        <v>150</v>
      </c>
      <c r="M224" s="56">
        <v>150</v>
      </c>
      <c r="N224" s="539">
        <v>0</v>
      </c>
      <c r="O224" s="13">
        <v>0</v>
      </c>
      <c r="P224" s="17">
        <v>0</v>
      </c>
    </row>
    <row r="225" spans="1:16" ht="15">
      <c r="A225" s="106"/>
      <c r="B225" s="107"/>
      <c r="C225" s="96"/>
      <c r="D225" s="96"/>
      <c r="E225" s="96">
        <v>717</v>
      </c>
      <c r="F225" s="108" t="s">
        <v>10</v>
      </c>
      <c r="G225" s="10"/>
      <c r="H225" s="10" t="s">
        <v>634</v>
      </c>
      <c r="I225" s="10"/>
      <c r="J225" s="10"/>
      <c r="K225" s="10"/>
      <c r="L225" s="56">
        <v>24850</v>
      </c>
      <c r="M225" s="56">
        <v>19203.12</v>
      </c>
      <c r="N225" s="539">
        <v>9000</v>
      </c>
      <c r="O225" s="13">
        <v>0</v>
      </c>
      <c r="P225" s="17">
        <v>0</v>
      </c>
    </row>
    <row r="226" spans="1:16" ht="15">
      <c r="A226" s="19"/>
      <c r="B226" s="524"/>
      <c r="C226" s="521"/>
      <c r="D226" s="521"/>
      <c r="E226" s="521"/>
      <c r="F226" s="20"/>
      <c r="G226" s="21"/>
      <c r="H226" s="21" t="s">
        <v>577</v>
      </c>
      <c r="I226" s="21"/>
      <c r="J226" s="21"/>
      <c r="K226" s="21"/>
      <c r="L226" s="91">
        <f>SUM(L224:L225)</f>
        <v>25000</v>
      </c>
      <c r="M226" s="91">
        <f>SUM(M224:M225)</f>
        <v>19353.12</v>
      </c>
      <c r="N226" s="686">
        <f>SUM(N224:N225)</f>
        <v>9000</v>
      </c>
      <c r="O226" s="15">
        <v>0</v>
      </c>
      <c r="P226" s="176">
        <v>0</v>
      </c>
    </row>
    <row r="227" spans="1:16" ht="15">
      <c r="A227" s="202">
        <v>6</v>
      </c>
      <c r="B227" s="203"/>
      <c r="C227" s="204"/>
      <c r="D227" s="204"/>
      <c r="E227" s="204"/>
      <c r="F227" s="205"/>
      <c r="G227" s="206"/>
      <c r="H227" s="206" t="s">
        <v>414</v>
      </c>
      <c r="I227" s="206"/>
      <c r="J227" s="206"/>
      <c r="K227" s="206"/>
      <c r="L227" s="442">
        <f>L200+L223+L226</f>
        <v>160374</v>
      </c>
      <c r="M227" s="508">
        <f>M200+M223+M226</f>
        <v>153440.96999999997</v>
      </c>
      <c r="N227" s="689">
        <f>N200+N223+N226</f>
        <v>145863</v>
      </c>
      <c r="O227" s="207">
        <f>O200+O223</f>
        <v>139600.26</v>
      </c>
      <c r="P227" s="208">
        <f>P200+P223</f>
        <v>142337.52</v>
      </c>
    </row>
    <row r="228" spans="1:16" ht="15">
      <c r="A228" s="209">
        <v>7</v>
      </c>
      <c r="B228" s="746" t="s">
        <v>24</v>
      </c>
      <c r="C228" s="747"/>
      <c r="D228" s="747"/>
      <c r="E228" s="748"/>
      <c r="F228" s="210" t="s">
        <v>115</v>
      </c>
      <c r="G228" s="111"/>
      <c r="H228" s="111"/>
      <c r="I228" s="111"/>
      <c r="J228" s="111"/>
      <c r="K228" s="111"/>
      <c r="L228" s="443"/>
      <c r="M228" s="443"/>
      <c r="N228" s="690"/>
      <c r="O228" s="211"/>
      <c r="P228" s="212"/>
    </row>
    <row r="229" spans="1:16" ht="15">
      <c r="A229" s="106" t="s">
        <v>0</v>
      </c>
      <c r="B229" s="107" t="s">
        <v>1</v>
      </c>
      <c r="C229" s="96" t="s">
        <v>2</v>
      </c>
      <c r="D229" s="96" t="s">
        <v>3</v>
      </c>
      <c r="E229" s="96" t="s">
        <v>4</v>
      </c>
      <c r="F229" s="108" t="s">
        <v>5</v>
      </c>
      <c r="G229" s="10" t="s">
        <v>6</v>
      </c>
      <c r="H229" s="10" t="s">
        <v>7</v>
      </c>
      <c r="I229" s="10"/>
      <c r="J229" s="10"/>
      <c r="K229" s="10"/>
      <c r="L229" s="56"/>
      <c r="M229" s="56"/>
      <c r="N229" s="539"/>
      <c r="O229" s="13"/>
      <c r="P229" s="17"/>
    </row>
    <row r="230" spans="1:16" ht="15">
      <c r="A230" s="132">
        <v>7</v>
      </c>
      <c r="B230" s="7">
        <v>1</v>
      </c>
      <c r="C230" s="55" t="s">
        <v>25</v>
      </c>
      <c r="D230" s="55"/>
      <c r="E230" s="55"/>
      <c r="F230" s="8"/>
      <c r="G230" s="9" t="s">
        <v>116</v>
      </c>
      <c r="H230" s="9"/>
      <c r="I230" s="9"/>
      <c r="J230" s="9"/>
      <c r="K230" s="9"/>
      <c r="L230" s="46"/>
      <c r="M230" s="46"/>
      <c r="N230" s="519"/>
      <c r="O230" s="11"/>
      <c r="P230" s="18"/>
    </row>
    <row r="231" spans="1:16" ht="15">
      <c r="A231" s="132">
        <v>7</v>
      </c>
      <c r="B231" s="7">
        <v>1</v>
      </c>
      <c r="C231" s="55">
        <v>1</v>
      </c>
      <c r="D231" s="55">
        <v>41</v>
      </c>
      <c r="E231" s="55">
        <v>633</v>
      </c>
      <c r="F231" s="8" t="s">
        <v>29</v>
      </c>
      <c r="G231" s="9"/>
      <c r="H231" s="9" t="s">
        <v>117</v>
      </c>
      <c r="I231" s="9"/>
      <c r="J231" s="9"/>
      <c r="K231" s="9"/>
      <c r="L231" s="46">
        <v>100</v>
      </c>
      <c r="M231" s="46">
        <v>0</v>
      </c>
      <c r="N231" s="519">
        <v>200</v>
      </c>
      <c r="O231" s="11">
        <f>N231+N231*$O$192</f>
        <v>204</v>
      </c>
      <c r="P231" s="18">
        <f>N231+N231*$P$192</f>
        <v>208</v>
      </c>
    </row>
    <row r="232" spans="1:18" ht="15">
      <c r="A232" s="157"/>
      <c r="B232" s="158"/>
      <c r="C232" s="118"/>
      <c r="D232" s="118"/>
      <c r="E232" s="118">
        <v>637</v>
      </c>
      <c r="F232" s="159" t="s">
        <v>13</v>
      </c>
      <c r="G232" s="117"/>
      <c r="H232" s="117" t="s">
        <v>631</v>
      </c>
      <c r="I232" s="117"/>
      <c r="J232" s="117"/>
      <c r="K232" s="117"/>
      <c r="L232" s="86">
        <v>2300</v>
      </c>
      <c r="M232" s="86">
        <v>1870.27</v>
      </c>
      <c r="N232" s="683">
        <v>2000</v>
      </c>
      <c r="O232" s="13">
        <f>N232+N232*$O$192</f>
        <v>2040</v>
      </c>
      <c r="P232" s="17">
        <f>N232+N232*$P$192</f>
        <v>2080</v>
      </c>
      <c r="R232" s="24" t="s">
        <v>694</v>
      </c>
    </row>
    <row r="233" spans="1:16" ht="15">
      <c r="A233" s="202">
        <v>7</v>
      </c>
      <c r="B233" s="203">
        <v>1</v>
      </c>
      <c r="C233" s="204"/>
      <c r="D233" s="204"/>
      <c r="E233" s="204"/>
      <c r="F233" s="205"/>
      <c r="G233" s="206"/>
      <c r="H233" s="206" t="s">
        <v>118</v>
      </c>
      <c r="I233" s="206"/>
      <c r="J233" s="206"/>
      <c r="K233" s="206"/>
      <c r="L233" s="442">
        <f>SUM(L231:L232)</f>
        <v>2400</v>
      </c>
      <c r="M233" s="442">
        <f>SUM(M231:M232)</f>
        <v>1870.27</v>
      </c>
      <c r="N233" s="689">
        <f>SUM(N231:N232)</f>
        <v>2200</v>
      </c>
      <c r="O233" s="213">
        <f>N233+N233*$O$192</f>
        <v>2244</v>
      </c>
      <c r="P233" s="214">
        <f>N233+N233*$P$192</f>
        <v>2288</v>
      </c>
    </row>
    <row r="234" spans="1:16" ht="15">
      <c r="A234" s="70"/>
      <c r="B234" s="71"/>
      <c r="C234" s="109"/>
      <c r="D234" s="109"/>
      <c r="E234" s="109"/>
      <c r="F234" s="72"/>
      <c r="G234" s="46"/>
      <c r="H234" s="46"/>
      <c r="I234" s="46"/>
      <c r="J234" s="46"/>
      <c r="K234" s="46"/>
      <c r="L234" s="46"/>
      <c r="M234" s="46"/>
      <c r="N234" s="519"/>
      <c r="O234" s="74"/>
      <c r="P234" s="75"/>
    </row>
    <row r="235" spans="1:16" ht="15">
      <c r="A235" s="19">
        <v>8</v>
      </c>
      <c r="B235" s="738" t="s">
        <v>24</v>
      </c>
      <c r="C235" s="738"/>
      <c r="D235" s="738"/>
      <c r="E235" s="738"/>
      <c r="F235" s="20" t="s">
        <v>119</v>
      </c>
      <c r="G235" s="21"/>
      <c r="H235" s="21"/>
      <c r="I235" s="21"/>
      <c r="J235" s="10"/>
      <c r="K235" s="10"/>
      <c r="L235" s="56"/>
      <c r="M235" s="56"/>
      <c r="N235" s="539"/>
      <c r="O235" s="369">
        <v>0.02</v>
      </c>
      <c r="P235" s="370">
        <v>0.04</v>
      </c>
    </row>
    <row r="236" spans="1:16" ht="15">
      <c r="A236" s="132" t="s">
        <v>0</v>
      </c>
      <c r="B236" s="7" t="s">
        <v>1</v>
      </c>
      <c r="C236" s="55" t="s">
        <v>2</v>
      </c>
      <c r="D236" s="55" t="s">
        <v>3</v>
      </c>
      <c r="E236" s="55" t="s">
        <v>4</v>
      </c>
      <c r="F236" s="8" t="s">
        <v>5</v>
      </c>
      <c r="G236" s="9" t="s">
        <v>6</v>
      </c>
      <c r="H236" s="9" t="s">
        <v>7</v>
      </c>
      <c r="I236" s="9"/>
      <c r="J236" s="9"/>
      <c r="K236" s="9"/>
      <c r="L236" s="46"/>
      <c r="M236" s="46"/>
      <c r="N236" s="519"/>
      <c r="O236" s="11"/>
      <c r="P236" s="18"/>
    </row>
    <row r="237" spans="1:16" ht="15">
      <c r="A237" s="19">
        <v>8</v>
      </c>
      <c r="B237" s="524">
        <v>1</v>
      </c>
      <c r="C237" s="521" t="s">
        <v>25</v>
      </c>
      <c r="D237" s="521"/>
      <c r="E237" s="521"/>
      <c r="F237" s="20"/>
      <c r="G237" s="21" t="s">
        <v>120</v>
      </c>
      <c r="H237" s="21"/>
      <c r="I237" s="21"/>
      <c r="J237" s="10"/>
      <c r="K237" s="10"/>
      <c r="L237" s="56"/>
      <c r="M237" s="56"/>
      <c r="N237" s="539"/>
      <c r="O237" s="13"/>
      <c r="P237" s="17"/>
    </row>
    <row r="238" spans="1:21" s="24" customFormat="1" ht="15">
      <c r="A238" s="132">
        <v>8</v>
      </c>
      <c r="B238" s="7">
        <v>1</v>
      </c>
      <c r="C238" s="55">
        <v>1</v>
      </c>
      <c r="D238" s="55">
        <v>41</v>
      </c>
      <c r="E238" s="55">
        <v>625</v>
      </c>
      <c r="F238" s="8" t="s">
        <v>12</v>
      </c>
      <c r="G238" s="9"/>
      <c r="H238" s="9" t="s">
        <v>17</v>
      </c>
      <c r="I238" s="9"/>
      <c r="J238" s="9"/>
      <c r="K238" s="9"/>
      <c r="L238" s="9">
        <v>3</v>
      </c>
      <c r="M238" s="9">
        <v>0</v>
      </c>
      <c r="N238" s="519">
        <v>0</v>
      </c>
      <c r="O238" s="11">
        <f>N238+N238*$O$235</f>
        <v>0</v>
      </c>
      <c r="P238" s="18">
        <f>N238+N238*$P$235</f>
        <v>0</v>
      </c>
      <c r="U238" s="538"/>
    </row>
    <row r="239" spans="1:16" ht="15">
      <c r="A239" s="106"/>
      <c r="B239" s="107"/>
      <c r="C239" s="96"/>
      <c r="D239" s="96"/>
      <c r="E239" s="96">
        <v>633</v>
      </c>
      <c r="F239" s="108" t="s">
        <v>29</v>
      </c>
      <c r="G239" s="10"/>
      <c r="H239" s="10" t="s">
        <v>635</v>
      </c>
      <c r="I239" s="10"/>
      <c r="J239" s="10"/>
      <c r="K239" s="10"/>
      <c r="L239" s="56">
        <v>3038</v>
      </c>
      <c r="M239" s="56">
        <v>3037.67</v>
      </c>
      <c r="N239" s="539">
        <v>9000</v>
      </c>
      <c r="O239" s="11">
        <v>2000</v>
      </c>
      <c r="P239" s="18">
        <v>2000</v>
      </c>
    </row>
    <row r="240" spans="1:16" ht="15">
      <c r="A240" s="132"/>
      <c r="B240" s="7"/>
      <c r="C240" s="55"/>
      <c r="D240" s="55"/>
      <c r="E240" s="55">
        <v>635</v>
      </c>
      <c r="F240" s="8" t="s">
        <v>29</v>
      </c>
      <c r="G240" s="9"/>
      <c r="H240" s="9" t="s">
        <v>121</v>
      </c>
      <c r="I240" s="9"/>
      <c r="J240" s="9"/>
      <c r="K240" s="9"/>
      <c r="L240" s="46">
        <v>4525</v>
      </c>
      <c r="M240" s="46">
        <v>4524.77</v>
      </c>
      <c r="N240" s="519">
        <v>4000</v>
      </c>
      <c r="O240" s="11">
        <f aca="true" t="shared" si="12" ref="O240:O264">N240+N240*$O$235</f>
        <v>4080</v>
      </c>
      <c r="P240" s="18">
        <f aca="true" t="shared" si="13" ref="P240:P264">N240+N240*$P$235</f>
        <v>4160</v>
      </c>
    </row>
    <row r="241" spans="1:16" ht="15">
      <c r="A241" s="106"/>
      <c r="B241" s="107"/>
      <c r="C241" s="96"/>
      <c r="D241" s="96"/>
      <c r="E241" s="96">
        <v>637</v>
      </c>
      <c r="F241" s="108" t="s">
        <v>13</v>
      </c>
      <c r="G241" s="10"/>
      <c r="H241" s="10" t="s">
        <v>122</v>
      </c>
      <c r="I241" s="10"/>
      <c r="J241" s="10"/>
      <c r="K241" s="10"/>
      <c r="L241" s="56">
        <v>886</v>
      </c>
      <c r="M241" s="56">
        <v>885.98</v>
      </c>
      <c r="N241" s="539">
        <v>5000</v>
      </c>
      <c r="O241" s="11">
        <f t="shared" si="12"/>
        <v>5100</v>
      </c>
      <c r="P241" s="18">
        <f t="shared" si="13"/>
        <v>5200</v>
      </c>
    </row>
    <row r="242" spans="1:16" ht="15">
      <c r="A242" s="132"/>
      <c r="B242" s="7"/>
      <c r="C242" s="55"/>
      <c r="D242" s="55"/>
      <c r="E242" s="55">
        <v>637</v>
      </c>
      <c r="F242" s="8" t="s">
        <v>13</v>
      </c>
      <c r="G242" s="9"/>
      <c r="H242" s="9" t="s">
        <v>578</v>
      </c>
      <c r="I242" s="9"/>
      <c r="J242" s="9"/>
      <c r="K242" s="9"/>
      <c r="L242" s="46">
        <v>1075</v>
      </c>
      <c r="M242" s="46">
        <v>1075.2</v>
      </c>
      <c r="N242" s="519">
        <v>2000</v>
      </c>
      <c r="O242" s="11">
        <f>N242+N242*$O$235</f>
        <v>2040</v>
      </c>
      <c r="P242" s="18">
        <f>N242+N242*$P$235</f>
        <v>2080</v>
      </c>
    </row>
    <row r="243" spans="1:16" ht="15">
      <c r="A243" s="132"/>
      <c r="B243" s="7"/>
      <c r="C243" s="55"/>
      <c r="D243" s="55"/>
      <c r="E243" s="55">
        <v>637</v>
      </c>
      <c r="F243" s="8" t="s">
        <v>19</v>
      </c>
      <c r="G243" s="9"/>
      <c r="H243" s="9" t="s">
        <v>505</v>
      </c>
      <c r="I243" s="9"/>
      <c r="J243" s="9"/>
      <c r="K243" s="9"/>
      <c r="L243" s="46">
        <v>10876</v>
      </c>
      <c r="M243" s="46">
        <v>13476.99</v>
      </c>
      <c r="N243" s="519">
        <v>0</v>
      </c>
      <c r="O243" s="11">
        <f>N243+N243*$O$235</f>
        <v>0</v>
      </c>
      <c r="P243" s="18">
        <f>N243+N243*$P$235</f>
        <v>0</v>
      </c>
    </row>
    <row r="244" spans="1:16" ht="15">
      <c r="A244" s="132"/>
      <c r="B244" s="7"/>
      <c r="C244" s="55"/>
      <c r="D244" s="55"/>
      <c r="E244" s="55">
        <v>637</v>
      </c>
      <c r="F244" s="8" t="s">
        <v>57</v>
      </c>
      <c r="G244" s="9"/>
      <c r="H244" s="9" t="s">
        <v>123</v>
      </c>
      <c r="I244" s="9"/>
      <c r="J244" s="9"/>
      <c r="K244" s="9"/>
      <c r="L244" s="46">
        <v>0</v>
      </c>
      <c r="M244" s="46">
        <v>0</v>
      </c>
      <c r="N244" s="519">
        <v>0</v>
      </c>
      <c r="O244" s="11">
        <f t="shared" si="12"/>
        <v>0</v>
      </c>
      <c r="P244" s="18">
        <f t="shared" si="13"/>
        <v>0</v>
      </c>
    </row>
    <row r="245" spans="1:16" ht="15">
      <c r="A245" s="19">
        <v>8</v>
      </c>
      <c r="B245" s="524">
        <v>1</v>
      </c>
      <c r="C245" s="521"/>
      <c r="D245" s="521"/>
      <c r="E245" s="521"/>
      <c r="F245" s="20"/>
      <c r="G245" s="21"/>
      <c r="H245" s="21" t="s">
        <v>124</v>
      </c>
      <c r="I245" s="21"/>
      <c r="J245" s="21"/>
      <c r="K245" s="21"/>
      <c r="L245" s="91">
        <f>SUM(L238:L244)</f>
        <v>20403</v>
      </c>
      <c r="M245" s="91">
        <f>SUM(M238:M244)</f>
        <v>23000.61</v>
      </c>
      <c r="N245" s="686">
        <f>SUM(N238:N244)</f>
        <v>20000</v>
      </c>
      <c r="O245" s="11">
        <f t="shared" si="12"/>
        <v>20400</v>
      </c>
      <c r="P245" s="18">
        <f t="shared" si="13"/>
        <v>20800</v>
      </c>
    </row>
    <row r="246" spans="1:16" ht="15">
      <c r="A246" s="6">
        <v>8</v>
      </c>
      <c r="B246" s="3">
        <v>2</v>
      </c>
      <c r="C246" s="523" t="s">
        <v>25</v>
      </c>
      <c r="D246" s="523"/>
      <c r="E246" s="523"/>
      <c r="F246" s="4"/>
      <c r="G246" s="5" t="s">
        <v>125</v>
      </c>
      <c r="H246" s="5"/>
      <c r="I246" s="5"/>
      <c r="J246" s="5"/>
      <c r="K246" s="5"/>
      <c r="L246" s="73"/>
      <c r="M246" s="73"/>
      <c r="N246" s="519"/>
      <c r="O246" s="11">
        <f t="shared" si="12"/>
        <v>0</v>
      </c>
      <c r="P246" s="18">
        <f t="shared" si="13"/>
        <v>0</v>
      </c>
    </row>
    <row r="247" spans="1:21" s="24" customFormat="1" ht="15">
      <c r="A247" s="106">
        <v>8</v>
      </c>
      <c r="B247" s="107">
        <v>2</v>
      </c>
      <c r="C247" s="96">
        <v>1</v>
      </c>
      <c r="D247" s="96">
        <v>111</v>
      </c>
      <c r="E247" s="96">
        <v>611</v>
      </c>
      <c r="F247" s="108"/>
      <c r="G247" s="10"/>
      <c r="H247" s="10" t="s">
        <v>8</v>
      </c>
      <c r="I247" s="10"/>
      <c r="J247" s="10"/>
      <c r="K247" s="10"/>
      <c r="L247" s="10">
        <v>77.92</v>
      </c>
      <c r="M247" s="10">
        <v>77.92</v>
      </c>
      <c r="N247" s="539">
        <v>78</v>
      </c>
      <c r="O247" s="11">
        <f t="shared" si="12"/>
        <v>79.56</v>
      </c>
      <c r="P247" s="18">
        <f t="shared" si="13"/>
        <v>81.12</v>
      </c>
      <c r="U247" s="538"/>
    </row>
    <row r="248" spans="1:16" ht="15">
      <c r="A248" s="132"/>
      <c r="B248" s="7"/>
      <c r="C248" s="55"/>
      <c r="D248" s="55"/>
      <c r="E248" s="55">
        <v>622</v>
      </c>
      <c r="F248" s="8"/>
      <c r="G248" s="9"/>
      <c r="H248" s="9" t="s">
        <v>14</v>
      </c>
      <c r="I248" s="9"/>
      <c r="J248" s="9"/>
      <c r="K248" s="9"/>
      <c r="L248" s="46">
        <v>7.79</v>
      </c>
      <c r="M248" s="46">
        <v>7.79</v>
      </c>
      <c r="N248" s="519">
        <v>8</v>
      </c>
      <c r="O248" s="11">
        <f t="shared" si="12"/>
        <v>8.16</v>
      </c>
      <c r="P248" s="18">
        <f t="shared" si="13"/>
        <v>8.32</v>
      </c>
    </row>
    <row r="249" spans="1:16" ht="15">
      <c r="A249" s="106"/>
      <c r="B249" s="107"/>
      <c r="C249" s="96"/>
      <c r="D249" s="96"/>
      <c r="E249" s="96">
        <v>625</v>
      </c>
      <c r="F249" s="108" t="s">
        <v>10</v>
      </c>
      <c r="G249" s="10"/>
      <c r="H249" s="10" t="s">
        <v>15</v>
      </c>
      <c r="I249" s="10"/>
      <c r="J249" s="10"/>
      <c r="K249" s="10"/>
      <c r="L249" s="56">
        <v>1.09</v>
      </c>
      <c r="M249" s="56">
        <v>1.09</v>
      </c>
      <c r="N249" s="539">
        <v>1</v>
      </c>
      <c r="O249" s="11">
        <f t="shared" si="12"/>
        <v>1.02</v>
      </c>
      <c r="P249" s="18">
        <f t="shared" si="13"/>
        <v>1.04</v>
      </c>
    </row>
    <row r="250" spans="1:16" ht="15">
      <c r="A250" s="132"/>
      <c r="B250" s="7"/>
      <c r="C250" s="55"/>
      <c r="D250" s="55"/>
      <c r="E250" s="55">
        <v>625</v>
      </c>
      <c r="F250" s="8" t="s">
        <v>11</v>
      </c>
      <c r="G250" s="9"/>
      <c r="H250" s="9" t="s">
        <v>16</v>
      </c>
      <c r="I250" s="9"/>
      <c r="J250" s="9"/>
      <c r="K250" s="9"/>
      <c r="L250" s="46">
        <v>10.9</v>
      </c>
      <c r="M250" s="46">
        <v>10.9</v>
      </c>
      <c r="N250" s="519">
        <v>11</v>
      </c>
      <c r="O250" s="11">
        <f t="shared" si="12"/>
        <v>11.22</v>
      </c>
      <c r="P250" s="18">
        <f t="shared" si="13"/>
        <v>11.44</v>
      </c>
    </row>
    <row r="251" spans="1:16" ht="15">
      <c r="A251" s="106"/>
      <c r="B251" s="107"/>
      <c r="C251" s="96"/>
      <c r="D251" s="96"/>
      <c r="E251" s="96">
        <v>625</v>
      </c>
      <c r="F251" s="108" t="s">
        <v>12</v>
      </c>
      <c r="G251" s="10"/>
      <c r="H251" s="10" t="s">
        <v>17</v>
      </c>
      <c r="I251" s="10"/>
      <c r="J251" s="10"/>
      <c r="K251" s="10"/>
      <c r="L251" s="56">
        <v>0.63</v>
      </c>
      <c r="M251" s="56">
        <v>0.63</v>
      </c>
      <c r="N251" s="539">
        <v>1</v>
      </c>
      <c r="O251" s="11">
        <f t="shared" si="12"/>
        <v>1.02</v>
      </c>
      <c r="P251" s="18">
        <f t="shared" si="13"/>
        <v>1.04</v>
      </c>
    </row>
    <row r="252" spans="1:16" ht="15">
      <c r="A252" s="132"/>
      <c r="B252" s="7"/>
      <c r="C252" s="55"/>
      <c r="D252" s="55"/>
      <c r="E252" s="55">
        <v>625</v>
      </c>
      <c r="F252" s="8" t="s">
        <v>13</v>
      </c>
      <c r="G252" s="9"/>
      <c r="H252" s="9" t="s">
        <v>18</v>
      </c>
      <c r="I252" s="9"/>
      <c r="J252" s="9"/>
      <c r="K252" s="9"/>
      <c r="L252" s="46">
        <v>2.34</v>
      </c>
      <c r="M252" s="46">
        <v>2.34</v>
      </c>
      <c r="N252" s="519">
        <v>2</v>
      </c>
      <c r="O252" s="11">
        <f t="shared" si="12"/>
        <v>2.04</v>
      </c>
      <c r="P252" s="18">
        <f t="shared" si="13"/>
        <v>2.08</v>
      </c>
    </row>
    <row r="253" spans="1:16" ht="15">
      <c r="A253" s="106"/>
      <c r="B253" s="107"/>
      <c r="C253" s="96"/>
      <c r="D253" s="96"/>
      <c r="E253" s="96">
        <v>625</v>
      </c>
      <c r="F253" s="215" t="s">
        <v>19</v>
      </c>
      <c r="G253" s="10"/>
      <c r="H253" s="216" t="s">
        <v>20</v>
      </c>
      <c r="I253" s="10"/>
      <c r="J253" s="10"/>
      <c r="K253" s="10"/>
      <c r="L253" s="56">
        <v>0.78</v>
      </c>
      <c r="M253" s="56">
        <v>0.78</v>
      </c>
      <c r="N253" s="539">
        <v>1</v>
      </c>
      <c r="O253" s="11">
        <f t="shared" si="12"/>
        <v>1.02</v>
      </c>
      <c r="P253" s="18">
        <f t="shared" si="13"/>
        <v>1.04</v>
      </c>
    </row>
    <row r="254" spans="1:16" ht="15">
      <c r="A254" s="132"/>
      <c r="B254" s="7"/>
      <c r="C254" s="55"/>
      <c r="D254" s="55"/>
      <c r="E254" s="55">
        <v>625</v>
      </c>
      <c r="F254" s="8" t="s">
        <v>21</v>
      </c>
      <c r="G254" s="9"/>
      <c r="H254" s="9" t="s">
        <v>22</v>
      </c>
      <c r="I254" s="9"/>
      <c r="J254" s="9"/>
      <c r="K254" s="9"/>
      <c r="L254" s="46">
        <v>3.7</v>
      </c>
      <c r="M254" s="46">
        <v>3.7</v>
      </c>
      <c r="N254" s="519">
        <v>4</v>
      </c>
      <c r="O254" s="11">
        <f t="shared" si="12"/>
        <v>4.08</v>
      </c>
      <c r="P254" s="18">
        <f t="shared" si="13"/>
        <v>4.16</v>
      </c>
    </row>
    <row r="255" spans="1:21" s="541" customFormat="1" ht="15">
      <c r="A255" s="531">
        <v>8</v>
      </c>
      <c r="B255" s="532">
        <v>2</v>
      </c>
      <c r="C255" s="533">
        <v>1</v>
      </c>
      <c r="D255" s="533">
        <v>111</v>
      </c>
      <c r="E255" s="533"/>
      <c r="F255" s="534"/>
      <c r="G255" s="535"/>
      <c r="H255" s="535" t="s">
        <v>126</v>
      </c>
      <c r="I255" s="535"/>
      <c r="J255" s="535"/>
      <c r="K255" s="535"/>
      <c r="L255" s="535">
        <f>SUM(L247:L254)</f>
        <v>105.15000000000002</v>
      </c>
      <c r="M255" s="535">
        <f>SUM(M247:M254)</f>
        <v>105.15000000000002</v>
      </c>
      <c r="N255" s="540">
        <f>SUM(N247:N254)</f>
        <v>106</v>
      </c>
      <c r="O255" s="536">
        <f t="shared" si="12"/>
        <v>108.12</v>
      </c>
      <c r="P255" s="537">
        <f t="shared" si="13"/>
        <v>110.24</v>
      </c>
      <c r="U255" s="542"/>
    </row>
    <row r="256" spans="1:16" ht="15">
      <c r="A256" s="6">
        <v>8</v>
      </c>
      <c r="B256" s="3">
        <v>3</v>
      </c>
      <c r="C256" s="523" t="s">
        <v>25</v>
      </c>
      <c r="D256" s="523"/>
      <c r="E256" s="523"/>
      <c r="F256" s="4"/>
      <c r="G256" s="5" t="s">
        <v>415</v>
      </c>
      <c r="H256" s="5"/>
      <c r="I256" s="5"/>
      <c r="J256" s="5"/>
      <c r="K256" s="5"/>
      <c r="L256" s="73"/>
      <c r="M256" s="73"/>
      <c r="N256" s="520"/>
      <c r="O256" s="11">
        <f t="shared" si="12"/>
        <v>0</v>
      </c>
      <c r="P256" s="18">
        <f t="shared" si="13"/>
        <v>0</v>
      </c>
    </row>
    <row r="257" spans="1:16" ht="15">
      <c r="A257" s="132">
        <v>8</v>
      </c>
      <c r="B257" s="7">
        <v>3</v>
      </c>
      <c r="C257" s="55">
        <v>2</v>
      </c>
      <c r="D257" s="55">
        <v>41</v>
      </c>
      <c r="E257" s="55">
        <v>713</v>
      </c>
      <c r="F257" s="8" t="s">
        <v>10</v>
      </c>
      <c r="G257" s="9"/>
      <c r="H257" s="9" t="s">
        <v>456</v>
      </c>
      <c r="I257" s="9"/>
      <c r="J257" s="9"/>
      <c r="K257" s="9"/>
      <c r="L257" s="46">
        <v>5868</v>
      </c>
      <c r="M257" s="46">
        <v>5868</v>
      </c>
      <c r="N257" s="519">
        <v>0</v>
      </c>
      <c r="O257" s="11">
        <v>0</v>
      </c>
      <c r="P257" s="18">
        <v>0</v>
      </c>
    </row>
    <row r="258" spans="1:16" ht="15">
      <c r="A258" s="157">
        <v>8</v>
      </c>
      <c r="B258" s="158">
        <v>3</v>
      </c>
      <c r="C258" s="118">
        <v>2</v>
      </c>
      <c r="D258" s="118">
        <v>41</v>
      </c>
      <c r="E258" s="118">
        <v>717</v>
      </c>
      <c r="F258" s="159" t="s">
        <v>10</v>
      </c>
      <c r="G258" s="117"/>
      <c r="H258" s="117" t="s">
        <v>483</v>
      </c>
      <c r="I258" s="117"/>
      <c r="J258" s="117"/>
      <c r="K258" s="117"/>
      <c r="L258" s="86">
        <v>70000</v>
      </c>
      <c r="M258" s="86">
        <v>27766.61</v>
      </c>
      <c r="N258" s="683">
        <v>20000</v>
      </c>
      <c r="O258" s="12">
        <f>N258+N258*$O$235</f>
        <v>20400</v>
      </c>
      <c r="P258" s="22">
        <f>N258+N258*$P$235</f>
        <v>20800</v>
      </c>
    </row>
    <row r="259" spans="1:16" ht="15">
      <c r="A259" s="132">
        <v>8</v>
      </c>
      <c r="B259" s="7">
        <v>3</v>
      </c>
      <c r="C259" s="55">
        <v>2</v>
      </c>
      <c r="D259" s="55">
        <v>41</v>
      </c>
      <c r="E259" s="55">
        <v>717</v>
      </c>
      <c r="F259" s="8" t="s">
        <v>11</v>
      </c>
      <c r="G259" s="9"/>
      <c r="H259" s="9" t="s">
        <v>636</v>
      </c>
      <c r="I259" s="9"/>
      <c r="J259" s="9"/>
      <c r="K259" s="9"/>
      <c r="L259" s="46">
        <v>6500</v>
      </c>
      <c r="M259" s="46">
        <v>6113.62</v>
      </c>
      <c r="N259" s="519">
        <v>10000</v>
      </c>
      <c r="O259" s="11">
        <f t="shared" si="12"/>
        <v>10200</v>
      </c>
      <c r="P259" s="18">
        <f t="shared" si="13"/>
        <v>10400</v>
      </c>
    </row>
    <row r="260" spans="1:16" ht="15">
      <c r="A260" s="132">
        <v>8</v>
      </c>
      <c r="B260" s="7">
        <v>3</v>
      </c>
      <c r="C260" s="55">
        <v>2</v>
      </c>
      <c r="D260" s="55">
        <v>41</v>
      </c>
      <c r="E260" s="55">
        <v>717</v>
      </c>
      <c r="F260" s="8" t="s">
        <v>11</v>
      </c>
      <c r="G260" s="9"/>
      <c r="H260" s="9" t="s">
        <v>579</v>
      </c>
      <c r="I260" s="9"/>
      <c r="J260" s="9"/>
      <c r="K260" s="9"/>
      <c r="L260" s="46">
        <v>0</v>
      </c>
      <c r="M260" s="46">
        <v>0</v>
      </c>
      <c r="N260" s="519">
        <v>20000</v>
      </c>
      <c r="O260" s="12">
        <f t="shared" si="12"/>
        <v>20400</v>
      </c>
      <c r="P260" s="18">
        <f t="shared" si="13"/>
        <v>20800</v>
      </c>
    </row>
    <row r="261" spans="1:16" ht="15">
      <c r="A261" s="132">
        <v>8</v>
      </c>
      <c r="B261" s="7">
        <v>3</v>
      </c>
      <c r="C261" s="55">
        <v>2</v>
      </c>
      <c r="D261" s="55">
        <v>41</v>
      </c>
      <c r="E261" s="55">
        <v>717</v>
      </c>
      <c r="F261" s="8" t="s">
        <v>10</v>
      </c>
      <c r="G261" s="9"/>
      <c r="H261" s="9" t="s">
        <v>580</v>
      </c>
      <c r="I261" s="9"/>
      <c r="J261" s="9"/>
      <c r="K261" s="9"/>
      <c r="L261" s="46">
        <v>15000</v>
      </c>
      <c r="M261" s="46">
        <v>0</v>
      </c>
      <c r="N261" s="519">
        <v>0</v>
      </c>
      <c r="O261" s="12">
        <v>0</v>
      </c>
      <c r="P261" s="18">
        <v>0</v>
      </c>
    </row>
    <row r="262" spans="1:16" ht="15">
      <c r="A262" s="132">
        <v>8</v>
      </c>
      <c r="B262" s="7">
        <v>3</v>
      </c>
      <c r="C262" s="55">
        <v>2</v>
      </c>
      <c r="D262" s="55">
        <v>41</v>
      </c>
      <c r="E262" s="55">
        <v>717</v>
      </c>
      <c r="F262" s="8" t="s">
        <v>10</v>
      </c>
      <c r="G262" s="9"/>
      <c r="H262" s="9" t="s">
        <v>421</v>
      </c>
      <c r="I262" s="9"/>
      <c r="J262" s="9"/>
      <c r="K262" s="9"/>
      <c r="L262" s="46">
        <v>20000</v>
      </c>
      <c r="M262" s="46">
        <v>0</v>
      </c>
      <c r="N262" s="519">
        <v>0</v>
      </c>
      <c r="O262" s="12">
        <v>0</v>
      </c>
      <c r="P262" s="18">
        <v>0</v>
      </c>
    </row>
    <row r="263" spans="1:21" s="24" customFormat="1" ht="15">
      <c r="A263" s="6">
        <v>8</v>
      </c>
      <c r="B263" s="3">
        <v>3</v>
      </c>
      <c r="C263" s="530"/>
      <c r="D263" s="530"/>
      <c r="E263" s="530"/>
      <c r="F263" s="4"/>
      <c r="G263" s="5"/>
      <c r="H263" s="5" t="s">
        <v>127</v>
      </c>
      <c r="I263" s="5"/>
      <c r="J263" s="5"/>
      <c r="K263" s="5"/>
      <c r="L263" s="5">
        <f>SUM(L257:L262)</f>
        <v>117368</v>
      </c>
      <c r="M263" s="5">
        <f>SUM(M257:M262)</f>
        <v>39748.23</v>
      </c>
      <c r="N263" s="520">
        <f>SUM(N257:N262)</f>
        <v>50000</v>
      </c>
      <c r="O263" s="11">
        <f t="shared" si="12"/>
        <v>51000</v>
      </c>
      <c r="P263" s="18">
        <f t="shared" si="13"/>
        <v>52000</v>
      </c>
      <c r="U263" s="538"/>
    </row>
    <row r="264" spans="1:22" s="24" customFormat="1" ht="15">
      <c r="A264" s="257">
        <v>8</v>
      </c>
      <c r="B264" s="258"/>
      <c r="C264" s="259"/>
      <c r="D264" s="259"/>
      <c r="E264" s="259"/>
      <c r="F264" s="260"/>
      <c r="G264" s="261"/>
      <c r="H264" s="261" t="s">
        <v>416</v>
      </c>
      <c r="I264" s="261"/>
      <c r="J264" s="261"/>
      <c r="K264" s="261"/>
      <c r="L264" s="261">
        <f>L245+L255+L263</f>
        <v>137876.15</v>
      </c>
      <c r="M264" s="261">
        <f>M245+M255+M263</f>
        <v>62853.990000000005</v>
      </c>
      <c r="N264" s="543">
        <f>N245+N255+N263</f>
        <v>70106</v>
      </c>
      <c r="O264" s="358">
        <f t="shared" si="12"/>
        <v>71508.12</v>
      </c>
      <c r="P264" s="359">
        <f t="shared" si="13"/>
        <v>72910.24</v>
      </c>
      <c r="S264" s="544"/>
      <c r="U264" s="538"/>
      <c r="V264" s="544"/>
    </row>
    <row r="265" spans="1:23" ht="15">
      <c r="A265" s="19">
        <v>9</v>
      </c>
      <c r="B265" s="738" t="s">
        <v>24</v>
      </c>
      <c r="C265" s="738"/>
      <c r="D265" s="738"/>
      <c r="E265" s="738"/>
      <c r="F265" s="20" t="s">
        <v>427</v>
      </c>
      <c r="G265" s="21"/>
      <c r="H265" s="21"/>
      <c r="I265" s="21"/>
      <c r="J265" s="21"/>
      <c r="K265" s="21"/>
      <c r="L265" s="91"/>
      <c r="M265" s="91"/>
      <c r="N265" s="539"/>
      <c r="O265" s="13"/>
      <c r="P265" s="17"/>
      <c r="R265" s="24" t="s">
        <v>695</v>
      </c>
      <c r="W265" s="59"/>
    </row>
    <row r="266" spans="1:16" ht="15">
      <c r="A266" s="132" t="s">
        <v>0</v>
      </c>
      <c r="B266" s="7" t="s">
        <v>1</v>
      </c>
      <c r="C266" s="55" t="s">
        <v>2</v>
      </c>
      <c r="D266" s="55" t="s">
        <v>3</v>
      </c>
      <c r="E266" s="55" t="s">
        <v>4</v>
      </c>
      <c r="F266" s="8" t="s">
        <v>5</v>
      </c>
      <c r="G266" s="9" t="s">
        <v>6</v>
      </c>
      <c r="H266" s="9" t="s">
        <v>7</v>
      </c>
      <c r="I266" s="9"/>
      <c r="J266" s="9"/>
      <c r="K266" s="9"/>
      <c r="L266" s="46"/>
      <c r="M266" s="46"/>
      <c r="N266" s="519"/>
      <c r="O266" s="11"/>
      <c r="P266" s="18"/>
    </row>
    <row r="267" spans="1:16" ht="15">
      <c r="A267" s="106">
        <v>9</v>
      </c>
      <c r="B267" s="107">
        <v>1</v>
      </c>
      <c r="C267" s="96" t="s">
        <v>25</v>
      </c>
      <c r="D267" s="96"/>
      <c r="E267" s="96"/>
      <c r="F267" s="108"/>
      <c r="G267" s="10" t="s">
        <v>434</v>
      </c>
      <c r="H267" s="10"/>
      <c r="I267" s="10"/>
      <c r="J267" s="10"/>
      <c r="K267" s="10"/>
      <c r="L267" s="56"/>
      <c r="M267" s="56"/>
      <c r="N267" s="539"/>
      <c r="O267" s="13"/>
      <c r="P267" s="17"/>
    </row>
    <row r="268" spans="1:16" ht="15">
      <c r="A268" s="132">
        <v>9</v>
      </c>
      <c r="B268" s="7">
        <v>1</v>
      </c>
      <c r="C268" s="55">
        <v>1</v>
      </c>
      <c r="D268" s="55">
        <v>111</v>
      </c>
      <c r="E268" s="55">
        <v>635</v>
      </c>
      <c r="F268" s="8" t="s">
        <v>29</v>
      </c>
      <c r="G268" s="9"/>
      <c r="H268" s="9" t="s">
        <v>581</v>
      </c>
      <c r="I268" s="9"/>
      <c r="J268" s="9"/>
      <c r="K268" s="9"/>
      <c r="L268" s="46">
        <v>25500</v>
      </c>
      <c r="M268" s="46">
        <v>25500</v>
      </c>
      <c r="N268" s="519">
        <v>0</v>
      </c>
      <c r="O268" s="11">
        <f>N268+N268*$O$235</f>
        <v>0</v>
      </c>
      <c r="P268" s="18">
        <f>N268+N268*$P$235</f>
        <v>0</v>
      </c>
    </row>
    <row r="269" spans="1:16" ht="15">
      <c r="A269" s="132">
        <v>9</v>
      </c>
      <c r="B269" s="7">
        <v>1</v>
      </c>
      <c r="C269" s="55">
        <v>1</v>
      </c>
      <c r="D269" s="55">
        <v>41</v>
      </c>
      <c r="E269" s="55">
        <v>632</v>
      </c>
      <c r="F269" s="8" t="s">
        <v>10</v>
      </c>
      <c r="G269" s="9"/>
      <c r="H269" s="9" t="s">
        <v>470</v>
      </c>
      <c r="I269" s="9"/>
      <c r="J269" s="9"/>
      <c r="K269" s="9"/>
      <c r="L269" s="46">
        <v>386.82</v>
      </c>
      <c r="M269" s="46">
        <v>412.84</v>
      </c>
      <c r="N269" s="519">
        <v>426</v>
      </c>
      <c r="O269" s="11">
        <f aca="true" t="shared" si="14" ref="O269:O274">N269+N269*$O$235</f>
        <v>434.52</v>
      </c>
      <c r="P269" s="18">
        <f aca="true" t="shared" si="15" ref="P269:P274">N269+N269*$P$235</f>
        <v>443.04</v>
      </c>
    </row>
    <row r="270" spans="1:16" ht="15">
      <c r="A270" s="132">
        <v>9</v>
      </c>
      <c r="B270" s="7">
        <v>1</v>
      </c>
      <c r="C270" s="55">
        <v>1</v>
      </c>
      <c r="D270" s="55">
        <v>41</v>
      </c>
      <c r="E270" s="55">
        <v>633</v>
      </c>
      <c r="F270" s="8" t="s">
        <v>10</v>
      </c>
      <c r="G270" s="9"/>
      <c r="H270" s="9" t="s">
        <v>582</v>
      </c>
      <c r="I270" s="9"/>
      <c r="J270" s="9"/>
      <c r="K270" s="9"/>
      <c r="L270" s="46">
        <v>11471.42</v>
      </c>
      <c r="M270" s="46">
        <v>11471.42</v>
      </c>
      <c r="N270" s="519">
        <v>0</v>
      </c>
      <c r="O270" s="11">
        <f t="shared" si="14"/>
        <v>0</v>
      </c>
      <c r="P270" s="18">
        <f t="shared" si="15"/>
        <v>0</v>
      </c>
    </row>
    <row r="271" spans="1:16" ht="15">
      <c r="A271" s="132"/>
      <c r="B271" s="7"/>
      <c r="C271" s="55"/>
      <c r="D271" s="55"/>
      <c r="E271" s="55">
        <v>633</v>
      </c>
      <c r="F271" s="8" t="s">
        <v>29</v>
      </c>
      <c r="G271" s="9"/>
      <c r="H271" s="9" t="s">
        <v>457</v>
      </c>
      <c r="I271" s="9"/>
      <c r="J271" s="9"/>
      <c r="K271" s="9"/>
      <c r="L271" s="46">
        <v>309.86</v>
      </c>
      <c r="M271" s="46">
        <v>309.86</v>
      </c>
      <c r="N271" s="519">
        <v>0</v>
      </c>
      <c r="O271" s="11">
        <f t="shared" si="14"/>
        <v>0</v>
      </c>
      <c r="P271" s="18">
        <f t="shared" si="15"/>
        <v>0</v>
      </c>
    </row>
    <row r="272" spans="1:16" ht="15">
      <c r="A272" s="132"/>
      <c r="B272" s="7"/>
      <c r="C272" s="55"/>
      <c r="D272" s="55"/>
      <c r="E272" s="55">
        <v>633</v>
      </c>
      <c r="F272" s="8" t="s">
        <v>109</v>
      </c>
      <c r="G272" s="9"/>
      <c r="H272" s="9" t="s">
        <v>583</v>
      </c>
      <c r="I272" s="9"/>
      <c r="J272" s="9"/>
      <c r="K272" s="9"/>
      <c r="L272" s="46">
        <v>99.25</v>
      </c>
      <c r="M272" s="46">
        <v>107.67</v>
      </c>
      <c r="N272" s="519">
        <v>0</v>
      </c>
      <c r="O272" s="11">
        <f t="shared" si="14"/>
        <v>0</v>
      </c>
      <c r="P272" s="18">
        <f t="shared" si="15"/>
        <v>0</v>
      </c>
    </row>
    <row r="273" spans="1:16" ht="15">
      <c r="A273" s="132"/>
      <c r="B273" s="7"/>
      <c r="C273" s="55"/>
      <c r="D273" s="55"/>
      <c r="E273" s="55">
        <v>633</v>
      </c>
      <c r="F273" s="8" t="s">
        <v>76</v>
      </c>
      <c r="G273" s="9"/>
      <c r="H273" s="9" t="s">
        <v>584</v>
      </c>
      <c r="I273" s="9"/>
      <c r="J273" s="9"/>
      <c r="K273" s="9"/>
      <c r="L273" s="46">
        <v>39.18</v>
      </c>
      <c r="M273" s="46">
        <v>76.33</v>
      </c>
      <c r="N273" s="519">
        <v>0</v>
      </c>
      <c r="O273" s="11">
        <f t="shared" si="14"/>
        <v>0</v>
      </c>
      <c r="P273" s="18">
        <f t="shared" si="15"/>
        <v>0</v>
      </c>
    </row>
    <row r="274" spans="1:16" ht="15">
      <c r="A274" s="132"/>
      <c r="B274" s="7"/>
      <c r="C274" s="55"/>
      <c r="D274" s="55"/>
      <c r="E274" s="55">
        <v>635</v>
      </c>
      <c r="F274" s="8" t="s">
        <v>29</v>
      </c>
      <c r="G274" s="9"/>
      <c r="H274" s="9" t="s">
        <v>585</v>
      </c>
      <c r="I274" s="9"/>
      <c r="J274" s="9"/>
      <c r="K274" s="9"/>
      <c r="L274" s="46">
        <v>2000</v>
      </c>
      <c r="M274" s="46">
        <v>18515.53</v>
      </c>
      <c r="N274" s="519">
        <v>0</v>
      </c>
      <c r="O274" s="11">
        <f t="shared" si="14"/>
        <v>0</v>
      </c>
      <c r="P274" s="18">
        <f t="shared" si="15"/>
        <v>0</v>
      </c>
    </row>
    <row r="275" spans="1:16" ht="15">
      <c r="A275" s="132"/>
      <c r="B275" s="7"/>
      <c r="C275" s="55"/>
      <c r="D275" s="55"/>
      <c r="E275" s="55">
        <v>637</v>
      </c>
      <c r="F275" s="8" t="s">
        <v>13</v>
      </c>
      <c r="G275" s="9"/>
      <c r="H275" s="9" t="s">
        <v>586</v>
      </c>
      <c r="I275" s="9"/>
      <c r="J275" s="9"/>
      <c r="K275" s="9"/>
      <c r="L275" s="46">
        <v>1007.91</v>
      </c>
      <c r="M275" s="46">
        <v>1045.01</v>
      </c>
      <c r="N275" s="519">
        <v>0</v>
      </c>
      <c r="O275" s="11">
        <f aca="true" t="shared" si="16" ref="O275:O280">N275+N275*$O$235</f>
        <v>0</v>
      </c>
      <c r="P275" s="18">
        <f aca="true" t="shared" si="17" ref="P275:P283">N275+N275*$P$235</f>
        <v>0</v>
      </c>
    </row>
    <row r="276" spans="1:16" ht="15">
      <c r="A276" s="106"/>
      <c r="B276" s="107"/>
      <c r="C276" s="96"/>
      <c r="D276" s="96"/>
      <c r="E276" s="96">
        <v>637</v>
      </c>
      <c r="F276" s="108" t="s">
        <v>76</v>
      </c>
      <c r="G276" s="10"/>
      <c r="H276" s="10" t="s">
        <v>128</v>
      </c>
      <c r="I276" s="10"/>
      <c r="J276" s="10"/>
      <c r="K276" s="10"/>
      <c r="L276" s="56">
        <v>1026.75</v>
      </c>
      <c r="M276" s="56">
        <v>1026.75</v>
      </c>
      <c r="N276" s="539">
        <v>1126</v>
      </c>
      <c r="O276" s="11">
        <f t="shared" si="16"/>
        <v>1148.52</v>
      </c>
      <c r="P276" s="18">
        <f t="shared" si="17"/>
        <v>1171.04</v>
      </c>
    </row>
    <row r="277" spans="1:16" ht="15">
      <c r="A277" s="106"/>
      <c r="B277" s="107"/>
      <c r="C277" s="96"/>
      <c r="D277" s="96"/>
      <c r="E277" s="96">
        <v>635</v>
      </c>
      <c r="F277" s="108" t="s">
        <v>29</v>
      </c>
      <c r="G277" s="10"/>
      <c r="H277" s="10" t="s">
        <v>587</v>
      </c>
      <c r="I277" s="10"/>
      <c r="J277" s="10"/>
      <c r="K277" s="10"/>
      <c r="L277" s="56">
        <v>1000</v>
      </c>
      <c r="M277" s="56">
        <v>1000</v>
      </c>
      <c r="N277" s="539">
        <v>0</v>
      </c>
      <c r="O277" s="11">
        <v>0</v>
      </c>
      <c r="P277" s="18">
        <f t="shared" si="17"/>
        <v>0</v>
      </c>
    </row>
    <row r="278" spans="1:16" ht="15">
      <c r="A278" s="6">
        <v>9</v>
      </c>
      <c r="B278" s="3">
        <v>1</v>
      </c>
      <c r="C278" s="523">
        <v>1</v>
      </c>
      <c r="D278" s="523">
        <v>41</v>
      </c>
      <c r="E278" s="523"/>
      <c r="F278" s="4"/>
      <c r="G278" s="5"/>
      <c r="H278" s="5" t="s">
        <v>129</v>
      </c>
      <c r="I278" s="5"/>
      <c r="J278" s="5"/>
      <c r="K278" s="5"/>
      <c r="L278" s="73">
        <f>SUM(L268:L277)</f>
        <v>42841.19</v>
      </c>
      <c r="M278" s="73">
        <f>SUM(M268:M277)</f>
        <v>59465.41</v>
      </c>
      <c r="N278" s="520">
        <f>SUM(N269:N276)</f>
        <v>1552</v>
      </c>
      <c r="O278" s="14">
        <v>1584</v>
      </c>
      <c r="P278" s="133">
        <f t="shared" si="17"/>
        <v>1614.08</v>
      </c>
    </row>
    <row r="279" spans="1:16" ht="15">
      <c r="A279" s="19">
        <v>9</v>
      </c>
      <c r="B279" s="524">
        <v>1</v>
      </c>
      <c r="C279" s="521">
        <v>2</v>
      </c>
      <c r="D279" s="521">
        <v>41</v>
      </c>
      <c r="E279" s="521">
        <v>717</v>
      </c>
      <c r="F279" s="20" t="s">
        <v>11</v>
      </c>
      <c r="G279" s="21"/>
      <c r="H279" s="21" t="s">
        <v>632</v>
      </c>
      <c r="I279" s="21"/>
      <c r="J279" s="21"/>
      <c r="K279" s="21"/>
      <c r="L279" s="91">
        <v>4373.04</v>
      </c>
      <c r="M279" s="91">
        <v>2387.7</v>
      </c>
      <c r="N279" s="540">
        <v>10000</v>
      </c>
      <c r="O279" s="11">
        <f t="shared" si="16"/>
        <v>10200</v>
      </c>
      <c r="P279" s="18">
        <f t="shared" si="17"/>
        <v>10400</v>
      </c>
    </row>
    <row r="280" spans="1:16" ht="15">
      <c r="A280" s="19">
        <v>9</v>
      </c>
      <c r="B280" s="524">
        <v>1</v>
      </c>
      <c r="C280" s="521">
        <v>2</v>
      </c>
      <c r="D280" s="521">
        <v>41</v>
      </c>
      <c r="E280" s="521">
        <v>717</v>
      </c>
      <c r="F280" s="20" t="s">
        <v>11</v>
      </c>
      <c r="G280" s="21"/>
      <c r="H280" s="21" t="s">
        <v>506</v>
      </c>
      <c r="I280" s="21"/>
      <c r="J280" s="21"/>
      <c r="K280" s="21"/>
      <c r="L280" s="91">
        <v>1626.96</v>
      </c>
      <c r="M280" s="91">
        <v>1626.96</v>
      </c>
      <c r="N280" s="686">
        <v>0</v>
      </c>
      <c r="O280" s="11">
        <f t="shared" si="16"/>
        <v>0</v>
      </c>
      <c r="P280" s="18">
        <f t="shared" si="17"/>
        <v>0</v>
      </c>
    </row>
    <row r="281" spans="1:16" ht="15">
      <c r="A281" s="19"/>
      <c r="B281" s="524"/>
      <c r="C281" s="521">
        <v>2</v>
      </c>
      <c r="D281" s="521">
        <v>46</v>
      </c>
      <c r="E281" s="521">
        <v>717</v>
      </c>
      <c r="F281" s="20" t="s">
        <v>11</v>
      </c>
      <c r="G281" s="21"/>
      <c r="H281" s="21" t="s">
        <v>588</v>
      </c>
      <c r="I281" s="21"/>
      <c r="J281" s="21"/>
      <c r="K281" s="21"/>
      <c r="L281" s="91">
        <v>135800</v>
      </c>
      <c r="M281" s="91">
        <v>135800</v>
      </c>
      <c r="N281" s="686">
        <v>0</v>
      </c>
      <c r="O281" s="11">
        <f>N281+N281*$O$235</f>
        <v>0</v>
      </c>
      <c r="P281" s="18">
        <f>N281+N281*$P$235</f>
        <v>0</v>
      </c>
    </row>
    <row r="282" spans="1:16" ht="15">
      <c r="A282" s="6">
        <v>9</v>
      </c>
      <c r="B282" s="3">
        <v>2</v>
      </c>
      <c r="C282" s="523"/>
      <c r="D282" s="523"/>
      <c r="E282" s="523"/>
      <c r="F282" s="4"/>
      <c r="G282" s="5"/>
      <c r="H282" s="5" t="s">
        <v>507</v>
      </c>
      <c r="I282" s="5"/>
      <c r="J282" s="5"/>
      <c r="K282" s="5"/>
      <c r="L282" s="73">
        <f>L279+L280+L281</f>
        <v>141800</v>
      </c>
      <c r="M282" s="73">
        <f>M279+M280+M281</f>
        <v>139814.66</v>
      </c>
      <c r="N282" s="520">
        <v>0</v>
      </c>
      <c r="O282" s="14">
        <f>N282+N282*$O$235</f>
        <v>0</v>
      </c>
      <c r="P282" s="133">
        <f>N282+N282*$P$235</f>
        <v>0</v>
      </c>
    </row>
    <row r="283" spans="1:16" ht="15">
      <c r="A283" s="192">
        <v>9</v>
      </c>
      <c r="B283" s="193"/>
      <c r="C283" s="194"/>
      <c r="D283" s="194"/>
      <c r="E283" s="194"/>
      <c r="F283" s="195"/>
      <c r="G283" s="196"/>
      <c r="H283" s="196" t="s">
        <v>130</v>
      </c>
      <c r="I283" s="196"/>
      <c r="J283" s="196"/>
      <c r="K283" s="196"/>
      <c r="L283" s="440">
        <f>L278+L282</f>
        <v>184641.19</v>
      </c>
      <c r="M283" s="440">
        <f>M278+M282</f>
        <v>199280.07</v>
      </c>
      <c r="N283" s="688">
        <f>N278+N279</f>
        <v>11552</v>
      </c>
      <c r="O283" s="360">
        <f>O278</f>
        <v>1584</v>
      </c>
      <c r="P283" s="131">
        <f t="shared" si="17"/>
        <v>12014.08</v>
      </c>
    </row>
    <row r="284" spans="1:16" ht="15">
      <c r="A284" s="66"/>
      <c r="B284" s="67"/>
      <c r="C284" s="68"/>
      <c r="D284" s="68"/>
      <c r="E284" s="68"/>
      <c r="F284" s="69"/>
      <c r="G284" s="56"/>
      <c r="H284" s="56"/>
      <c r="I284" s="56"/>
      <c r="J284" s="56"/>
      <c r="K284" s="56"/>
      <c r="L284" s="56"/>
      <c r="M284" s="56"/>
      <c r="N284" s="539"/>
      <c r="O284" s="57"/>
      <c r="P284" s="58"/>
    </row>
    <row r="285" spans="1:16" ht="15">
      <c r="A285" s="209">
        <v>10</v>
      </c>
      <c r="B285" s="746" t="s">
        <v>24</v>
      </c>
      <c r="C285" s="747"/>
      <c r="D285" s="747"/>
      <c r="E285" s="748"/>
      <c r="F285" s="210" t="s">
        <v>131</v>
      </c>
      <c r="G285" s="111"/>
      <c r="H285" s="111"/>
      <c r="I285" s="111"/>
      <c r="J285" s="111"/>
      <c r="K285" s="111"/>
      <c r="L285" s="443"/>
      <c r="M285" s="443"/>
      <c r="N285" s="519"/>
      <c r="O285" s="361">
        <v>0.02</v>
      </c>
      <c r="P285" s="362">
        <v>0.04</v>
      </c>
    </row>
    <row r="286" spans="1:16" ht="15">
      <c r="A286" s="106" t="s">
        <v>0</v>
      </c>
      <c r="B286" s="107" t="s">
        <v>1</v>
      </c>
      <c r="C286" s="96" t="s">
        <v>2</v>
      </c>
      <c r="D286" s="96" t="s">
        <v>3</v>
      </c>
      <c r="E286" s="96" t="s">
        <v>4</v>
      </c>
      <c r="F286" s="108" t="s">
        <v>5</v>
      </c>
      <c r="G286" s="10" t="s">
        <v>6</v>
      </c>
      <c r="H286" s="10" t="s">
        <v>7</v>
      </c>
      <c r="I286" s="10"/>
      <c r="J286" s="10"/>
      <c r="K286" s="10"/>
      <c r="L286" s="56"/>
      <c r="M286" s="56"/>
      <c r="N286" s="539"/>
      <c r="O286" s="13"/>
      <c r="P286" s="17"/>
    </row>
    <row r="287" spans="1:16" ht="15">
      <c r="A287" s="6">
        <v>10</v>
      </c>
      <c r="B287" s="3">
        <v>1</v>
      </c>
      <c r="C287" s="523" t="s">
        <v>25</v>
      </c>
      <c r="D287" s="523"/>
      <c r="E287" s="523"/>
      <c r="F287" s="4"/>
      <c r="G287" s="5" t="s">
        <v>132</v>
      </c>
      <c r="H287" s="5"/>
      <c r="I287" s="9"/>
      <c r="J287" s="9"/>
      <c r="K287" s="9"/>
      <c r="L287" s="46"/>
      <c r="M287" s="46"/>
      <c r="N287" s="519"/>
      <c r="O287" s="11"/>
      <c r="P287" s="18"/>
    </row>
    <row r="288" spans="1:16" ht="15">
      <c r="A288" s="157">
        <v>10</v>
      </c>
      <c r="B288" s="158">
        <v>1</v>
      </c>
      <c r="C288" s="118">
        <v>1</v>
      </c>
      <c r="D288" s="118">
        <v>41</v>
      </c>
      <c r="E288" s="118">
        <v>632</v>
      </c>
      <c r="F288" s="159" t="s">
        <v>10</v>
      </c>
      <c r="G288" s="117"/>
      <c r="H288" s="117" t="s">
        <v>459</v>
      </c>
      <c r="I288" s="117"/>
      <c r="J288" s="117"/>
      <c r="K288" s="117"/>
      <c r="L288" s="86">
        <v>6400</v>
      </c>
      <c r="M288" s="86">
        <v>4820.95</v>
      </c>
      <c r="N288" s="683">
        <v>5000</v>
      </c>
      <c r="O288" s="12">
        <f aca="true" t="shared" si="18" ref="O288:O297">N288+N288*$O$285</f>
        <v>5100</v>
      </c>
      <c r="P288" s="22">
        <f aca="true" t="shared" si="19" ref="P288:P297">N288+N288*$P$285</f>
        <v>5200</v>
      </c>
    </row>
    <row r="289" spans="1:16" ht="15">
      <c r="A289" s="132"/>
      <c r="B289" s="7"/>
      <c r="C289" s="55"/>
      <c r="D289" s="55"/>
      <c r="E289" s="55">
        <v>632</v>
      </c>
      <c r="F289" s="8" t="s">
        <v>10</v>
      </c>
      <c r="G289" s="9"/>
      <c r="H289" s="9" t="s">
        <v>458</v>
      </c>
      <c r="I289" s="9"/>
      <c r="J289" s="9"/>
      <c r="K289" s="9"/>
      <c r="L289" s="46">
        <v>21000</v>
      </c>
      <c r="M289" s="46">
        <v>17511.33</v>
      </c>
      <c r="N289" s="519">
        <v>18000</v>
      </c>
      <c r="O289" s="11">
        <f t="shared" si="18"/>
        <v>18360</v>
      </c>
      <c r="P289" s="18">
        <f t="shared" si="19"/>
        <v>18720</v>
      </c>
    </row>
    <row r="290" spans="1:16" ht="15">
      <c r="A290" s="106"/>
      <c r="B290" s="107"/>
      <c r="C290" s="96"/>
      <c r="D290" s="96"/>
      <c r="E290" s="96">
        <v>632</v>
      </c>
      <c r="F290" s="108" t="s">
        <v>11</v>
      </c>
      <c r="G290" s="10"/>
      <c r="H290" s="10" t="s">
        <v>133</v>
      </c>
      <c r="I290" s="10"/>
      <c r="J290" s="10"/>
      <c r="K290" s="10"/>
      <c r="L290" s="56">
        <v>600</v>
      </c>
      <c r="M290" s="56">
        <v>411.57</v>
      </c>
      <c r="N290" s="539">
        <v>500</v>
      </c>
      <c r="O290" s="12">
        <f t="shared" si="18"/>
        <v>510</v>
      </c>
      <c r="P290" s="22">
        <f t="shared" si="19"/>
        <v>520</v>
      </c>
    </row>
    <row r="291" spans="1:16" ht="15">
      <c r="A291" s="132"/>
      <c r="B291" s="7"/>
      <c r="C291" s="55"/>
      <c r="D291" s="55"/>
      <c r="E291" s="55">
        <v>632</v>
      </c>
      <c r="F291" s="8" t="s">
        <v>12</v>
      </c>
      <c r="G291" s="9"/>
      <c r="H291" s="9" t="s">
        <v>134</v>
      </c>
      <c r="I291" s="9"/>
      <c r="J291" s="9"/>
      <c r="K291" s="9"/>
      <c r="L291" s="46">
        <v>350</v>
      </c>
      <c r="M291" s="46">
        <v>340.19</v>
      </c>
      <c r="N291" s="519">
        <v>350</v>
      </c>
      <c r="O291" s="12">
        <f t="shared" si="18"/>
        <v>357</v>
      </c>
      <c r="P291" s="22">
        <f t="shared" si="19"/>
        <v>364</v>
      </c>
    </row>
    <row r="292" spans="1:16" ht="15">
      <c r="A292" s="132"/>
      <c r="B292" s="7"/>
      <c r="C292" s="55"/>
      <c r="D292" s="55"/>
      <c r="E292" s="55">
        <v>633</v>
      </c>
      <c r="F292" s="8" t="s">
        <v>29</v>
      </c>
      <c r="G292" s="9"/>
      <c r="H292" s="9" t="s">
        <v>135</v>
      </c>
      <c r="I292" s="9"/>
      <c r="J292" s="9"/>
      <c r="K292" s="9"/>
      <c r="L292" s="46">
        <v>2000</v>
      </c>
      <c r="M292" s="46">
        <v>1273.5</v>
      </c>
      <c r="N292" s="519">
        <v>2000</v>
      </c>
      <c r="O292" s="11">
        <f t="shared" si="18"/>
        <v>2040</v>
      </c>
      <c r="P292" s="18">
        <f t="shared" si="19"/>
        <v>2080</v>
      </c>
    </row>
    <row r="293" spans="1:16" ht="15">
      <c r="A293" s="106"/>
      <c r="B293" s="107"/>
      <c r="C293" s="96"/>
      <c r="D293" s="96"/>
      <c r="E293" s="96">
        <v>633</v>
      </c>
      <c r="F293" s="108" t="s">
        <v>29</v>
      </c>
      <c r="G293" s="10"/>
      <c r="H293" s="10" t="s">
        <v>460</v>
      </c>
      <c r="I293" s="10"/>
      <c r="J293" s="10"/>
      <c r="K293" s="10"/>
      <c r="L293" s="56">
        <v>500</v>
      </c>
      <c r="M293" s="56">
        <v>496.77</v>
      </c>
      <c r="N293" s="539">
        <v>0</v>
      </c>
      <c r="O293" s="12">
        <f t="shared" si="18"/>
        <v>0</v>
      </c>
      <c r="P293" s="22">
        <f t="shared" si="19"/>
        <v>0</v>
      </c>
    </row>
    <row r="294" spans="1:16" ht="15">
      <c r="A294" s="132"/>
      <c r="B294" s="7"/>
      <c r="C294" s="55"/>
      <c r="D294" s="55"/>
      <c r="E294" s="222">
        <v>635</v>
      </c>
      <c r="F294" s="8" t="s">
        <v>29</v>
      </c>
      <c r="G294" s="9"/>
      <c r="H294" s="9" t="s">
        <v>136</v>
      </c>
      <c r="I294" s="9"/>
      <c r="J294" s="9"/>
      <c r="K294" s="9"/>
      <c r="L294" s="46">
        <v>2700</v>
      </c>
      <c r="M294" s="46">
        <v>2696.68</v>
      </c>
      <c r="N294" s="519">
        <v>1500</v>
      </c>
      <c r="O294" s="12">
        <f t="shared" si="18"/>
        <v>1530</v>
      </c>
      <c r="P294" s="22">
        <f t="shared" si="19"/>
        <v>1560</v>
      </c>
    </row>
    <row r="295" spans="1:16" ht="15">
      <c r="A295" s="132"/>
      <c r="B295" s="7"/>
      <c r="C295" s="55"/>
      <c r="D295" s="55"/>
      <c r="E295" s="55">
        <v>637</v>
      </c>
      <c r="F295" s="8" t="s">
        <v>13</v>
      </c>
      <c r="G295" s="9"/>
      <c r="H295" s="9" t="s">
        <v>137</v>
      </c>
      <c r="I295" s="9"/>
      <c r="J295" s="9"/>
      <c r="K295" s="9"/>
      <c r="L295" s="46">
        <v>1000</v>
      </c>
      <c r="M295" s="46">
        <v>504.28</v>
      </c>
      <c r="N295" s="519">
        <v>4000</v>
      </c>
      <c r="O295" s="11">
        <f t="shared" si="18"/>
        <v>4080</v>
      </c>
      <c r="P295" s="18">
        <f t="shared" si="19"/>
        <v>4160</v>
      </c>
    </row>
    <row r="296" spans="1:16" ht="15">
      <c r="A296" s="106"/>
      <c r="B296" s="107"/>
      <c r="C296" s="96"/>
      <c r="D296" s="96"/>
      <c r="E296" s="96">
        <v>637</v>
      </c>
      <c r="F296" s="108" t="s">
        <v>13</v>
      </c>
      <c r="G296" s="117"/>
      <c r="H296" s="117" t="s">
        <v>461</v>
      </c>
      <c r="I296" s="117"/>
      <c r="J296" s="117"/>
      <c r="K296" s="117"/>
      <c r="L296" s="86">
        <v>1500</v>
      </c>
      <c r="M296" s="86">
        <v>790</v>
      </c>
      <c r="N296" s="683">
        <v>1500</v>
      </c>
      <c r="O296" s="12">
        <f t="shared" si="18"/>
        <v>1530</v>
      </c>
      <c r="P296" s="22">
        <f t="shared" si="19"/>
        <v>1560</v>
      </c>
    </row>
    <row r="297" spans="1:16" ht="15">
      <c r="A297" s="132"/>
      <c r="B297" s="7"/>
      <c r="C297" s="55"/>
      <c r="D297" s="55"/>
      <c r="E297" s="55">
        <v>637</v>
      </c>
      <c r="F297" s="223" t="s">
        <v>19</v>
      </c>
      <c r="G297" s="9"/>
      <c r="H297" s="9" t="s">
        <v>138</v>
      </c>
      <c r="I297" s="9"/>
      <c r="J297" s="9"/>
      <c r="K297" s="9"/>
      <c r="L297" s="46">
        <v>1000</v>
      </c>
      <c r="M297" s="46">
        <v>987.19</v>
      </c>
      <c r="N297" s="519">
        <v>1000</v>
      </c>
      <c r="O297" s="12">
        <f t="shared" si="18"/>
        <v>1020</v>
      </c>
      <c r="P297" s="22">
        <f t="shared" si="19"/>
        <v>1040</v>
      </c>
    </row>
    <row r="298" spans="1:18" ht="15">
      <c r="A298" s="132"/>
      <c r="B298" s="7"/>
      <c r="C298" s="55"/>
      <c r="D298" s="55"/>
      <c r="E298" s="55">
        <v>637</v>
      </c>
      <c r="F298" s="223" t="s">
        <v>19</v>
      </c>
      <c r="G298" s="9"/>
      <c r="H298" s="9" t="s">
        <v>462</v>
      </c>
      <c r="I298" s="9"/>
      <c r="J298" s="9"/>
      <c r="K298" s="9"/>
      <c r="L298" s="46">
        <v>500</v>
      </c>
      <c r="M298" s="46">
        <v>0</v>
      </c>
      <c r="N298" s="519">
        <v>1000</v>
      </c>
      <c r="O298" s="12">
        <f>N298+N298*$O$285</f>
        <v>1020</v>
      </c>
      <c r="P298" s="22">
        <f>N298+N298*$P$285</f>
        <v>1040</v>
      </c>
      <c r="R298" s="24" t="s">
        <v>696</v>
      </c>
    </row>
    <row r="299" spans="1:16" ht="15">
      <c r="A299" s="6">
        <v>10</v>
      </c>
      <c r="B299" s="3">
        <v>1</v>
      </c>
      <c r="C299" s="523">
        <v>1</v>
      </c>
      <c r="D299" s="523">
        <v>41</v>
      </c>
      <c r="E299" s="523"/>
      <c r="F299" s="4"/>
      <c r="G299" s="5"/>
      <c r="H299" s="5" t="s">
        <v>139</v>
      </c>
      <c r="I299" s="5"/>
      <c r="J299" s="5"/>
      <c r="K299" s="5"/>
      <c r="L299" s="73">
        <f>SUM(L288:L298)</f>
        <v>37550</v>
      </c>
      <c r="M299" s="73">
        <f>SUM(M288:M298)</f>
        <v>29832.46</v>
      </c>
      <c r="N299" s="520">
        <f>SUM(N288:N298)</f>
        <v>34850</v>
      </c>
      <c r="O299" s="14">
        <f>SUM(O288:O298)</f>
        <v>35547</v>
      </c>
      <c r="P299" s="133">
        <f>SUM(P288:P298)</f>
        <v>36244</v>
      </c>
    </row>
    <row r="300" spans="1:16" ht="15">
      <c r="A300" s="132"/>
      <c r="B300" s="7"/>
      <c r="C300" s="55">
        <v>2</v>
      </c>
      <c r="D300" s="55">
        <v>41</v>
      </c>
      <c r="E300" s="55">
        <v>717</v>
      </c>
      <c r="F300" s="8" t="s">
        <v>11</v>
      </c>
      <c r="G300" s="9"/>
      <c r="H300" s="9" t="s">
        <v>589</v>
      </c>
      <c r="I300" s="9"/>
      <c r="J300" s="9"/>
      <c r="K300" s="9"/>
      <c r="L300" s="46">
        <v>10000</v>
      </c>
      <c r="M300" s="46">
        <v>9976.23</v>
      </c>
      <c r="N300" s="519">
        <v>0</v>
      </c>
      <c r="O300" s="12">
        <v>0</v>
      </c>
      <c r="P300" s="22">
        <v>0</v>
      </c>
    </row>
    <row r="301" spans="1:16" ht="15">
      <c r="A301" s="6"/>
      <c r="B301" s="3"/>
      <c r="C301" s="523">
        <v>2</v>
      </c>
      <c r="D301" s="523">
        <v>41</v>
      </c>
      <c r="E301" s="523"/>
      <c r="F301" s="4"/>
      <c r="G301" s="5"/>
      <c r="H301" s="5" t="s">
        <v>590</v>
      </c>
      <c r="I301" s="5"/>
      <c r="J301" s="5"/>
      <c r="K301" s="5"/>
      <c r="L301" s="73">
        <f>L300</f>
        <v>10000</v>
      </c>
      <c r="M301" s="73">
        <f>M300</f>
        <v>9976.23</v>
      </c>
      <c r="N301" s="520">
        <v>0</v>
      </c>
      <c r="O301" s="14">
        <v>0</v>
      </c>
      <c r="P301" s="133">
        <v>0</v>
      </c>
    </row>
    <row r="302" spans="1:16" ht="15">
      <c r="A302" s="6">
        <v>10</v>
      </c>
      <c r="B302" s="3">
        <v>1</v>
      </c>
      <c r="C302" s="523"/>
      <c r="D302" s="523"/>
      <c r="E302" s="523"/>
      <c r="F302" s="4"/>
      <c r="G302" s="5"/>
      <c r="H302" s="5" t="s">
        <v>139</v>
      </c>
      <c r="I302" s="5"/>
      <c r="J302" s="5"/>
      <c r="K302" s="5"/>
      <c r="L302" s="73">
        <f>L299+L301</f>
        <v>47550</v>
      </c>
      <c r="M302" s="73">
        <f>M299+M301</f>
        <v>39808.69</v>
      </c>
      <c r="N302" s="520">
        <f>N299+N301</f>
        <v>34850</v>
      </c>
      <c r="O302" s="14">
        <f>O299+O301</f>
        <v>35547</v>
      </c>
      <c r="P302" s="133">
        <f>P299+P301</f>
        <v>36244</v>
      </c>
    </row>
    <row r="303" spans="1:16" ht="15">
      <c r="A303" s="6">
        <v>10</v>
      </c>
      <c r="B303" s="3">
        <v>2</v>
      </c>
      <c r="C303" s="523" t="s">
        <v>25</v>
      </c>
      <c r="D303" s="523"/>
      <c r="E303" s="523"/>
      <c r="F303" s="4"/>
      <c r="G303" s="5" t="s">
        <v>140</v>
      </c>
      <c r="H303" s="5"/>
      <c r="I303" s="5"/>
      <c r="J303" s="5"/>
      <c r="K303" s="5"/>
      <c r="L303" s="73"/>
      <c r="M303" s="73"/>
      <c r="N303" s="519"/>
      <c r="O303" s="371">
        <f aca="true" t="shared" si="20" ref="O303:O321">N303+N303*$O$285</f>
        <v>0</v>
      </c>
      <c r="P303" s="372">
        <f aca="true" t="shared" si="21" ref="P303:P321">N303+N303*$P$285</f>
        <v>0</v>
      </c>
    </row>
    <row r="304" spans="1:16" ht="15">
      <c r="A304" s="19">
        <v>10</v>
      </c>
      <c r="B304" s="524">
        <v>2</v>
      </c>
      <c r="C304" s="521">
        <v>1</v>
      </c>
      <c r="D304" s="521">
        <v>41</v>
      </c>
      <c r="E304" s="521">
        <v>642</v>
      </c>
      <c r="F304" s="20" t="s">
        <v>11</v>
      </c>
      <c r="G304" s="21"/>
      <c r="H304" s="21" t="s">
        <v>485</v>
      </c>
      <c r="I304" s="21"/>
      <c r="J304" s="21"/>
      <c r="K304" s="21"/>
      <c r="L304" s="91"/>
      <c r="M304" s="91"/>
      <c r="N304" s="686"/>
      <c r="O304" s="373">
        <f t="shared" si="20"/>
        <v>0</v>
      </c>
      <c r="P304" s="374">
        <f t="shared" si="21"/>
        <v>0</v>
      </c>
    </row>
    <row r="305" spans="1:21" s="491" customFormat="1" ht="15">
      <c r="A305" s="483"/>
      <c r="B305" s="484"/>
      <c r="C305" s="485"/>
      <c r="D305" s="485"/>
      <c r="E305" s="485"/>
      <c r="F305" s="486"/>
      <c r="G305" s="487"/>
      <c r="H305" s="124" t="s">
        <v>331</v>
      </c>
      <c r="I305" s="124"/>
      <c r="J305" s="124"/>
      <c r="K305" s="124"/>
      <c r="L305" s="488">
        <v>1000</v>
      </c>
      <c r="M305" s="488">
        <v>1000</v>
      </c>
      <c r="N305" s="691">
        <v>1000</v>
      </c>
      <c r="O305" s="489">
        <f t="shared" si="20"/>
        <v>1020</v>
      </c>
      <c r="P305" s="490">
        <f t="shared" si="21"/>
        <v>1040</v>
      </c>
      <c r="R305" s="732"/>
      <c r="U305" s="492"/>
    </row>
    <row r="306" spans="1:21" s="491" customFormat="1" ht="15">
      <c r="A306" s="493"/>
      <c r="B306" s="494"/>
      <c r="C306" s="495"/>
      <c r="D306" s="495"/>
      <c r="E306" s="495"/>
      <c r="F306" s="496"/>
      <c r="G306" s="497"/>
      <c r="H306" s="31" t="s">
        <v>332</v>
      </c>
      <c r="I306" s="31"/>
      <c r="J306" s="31"/>
      <c r="K306" s="31"/>
      <c r="L306" s="498">
        <v>800</v>
      </c>
      <c r="M306" s="498">
        <v>800</v>
      </c>
      <c r="N306" s="692">
        <v>800</v>
      </c>
      <c r="O306" s="489">
        <f t="shared" si="20"/>
        <v>816</v>
      </c>
      <c r="P306" s="490">
        <f t="shared" si="21"/>
        <v>832</v>
      </c>
      <c r="R306" s="732"/>
      <c r="U306" s="492"/>
    </row>
    <row r="307" spans="1:21" s="491" customFormat="1" ht="15">
      <c r="A307" s="499"/>
      <c r="B307" s="500"/>
      <c r="C307" s="501"/>
      <c r="D307" s="501"/>
      <c r="E307" s="501"/>
      <c r="F307" s="502"/>
      <c r="G307" s="503"/>
      <c r="H307" s="124" t="s">
        <v>333</v>
      </c>
      <c r="I307" s="124"/>
      <c r="J307" s="124"/>
      <c r="K307" s="124"/>
      <c r="L307" s="488">
        <v>400</v>
      </c>
      <c r="M307" s="488">
        <v>400</v>
      </c>
      <c r="N307" s="691"/>
      <c r="O307" s="489">
        <f t="shared" si="20"/>
        <v>0</v>
      </c>
      <c r="P307" s="490">
        <f t="shared" si="21"/>
        <v>0</v>
      </c>
      <c r="R307" s="732"/>
      <c r="U307" s="492"/>
    </row>
    <row r="308" spans="1:21" s="491" customFormat="1" ht="15">
      <c r="A308" s="499"/>
      <c r="B308" s="500"/>
      <c r="C308" s="501"/>
      <c r="D308" s="501"/>
      <c r="E308" s="501"/>
      <c r="F308" s="502"/>
      <c r="G308" s="503"/>
      <c r="H308" s="124" t="s">
        <v>562</v>
      </c>
      <c r="I308" s="124"/>
      <c r="J308" s="124"/>
      <c r="K308" s="124"/>
      <c r="L308" s="488">
        <v>0</v>
      </c>
      <c r="M308" s="488">
        <v>0</v>
      </c>
      <c r="N308" s="691">
        <v>300</v>
      </c>
      <c r="O308" s="489">
        <f t="shared" si="20"/>
        <v>306</v>
      </c>
      <c r="P308" s="490">
        <f t="shared" si="21"/>
        <v>312</v>
      </c>
      <c r="R308" s="732"/>
      <c r="U308" s="492"/>
    </row>
    <row r="309" spans="1:21" s="491" customFormat="1" ht="15">
      <c r="A309" s="493"/>
      <c r="B309" s="494"/>
      <c r="C309" s="495"/>
      <c r="D309" s="495"/>
      <c r="E309" s="495"/>
      <c r="F309" s="496"/>
      <c r="G309" s="497"/>
      <c r="H309" s="31" t="s">
        <v>334</v>
      </c>
      <c r="I309" s="31"/>
      <c r="J309" s="31"/>
      <c r="K309" s="31"/>
      <c r="L309" s="498">
        <v>600</v>
      </c>
      <c r="M309" s="498">
        <v>600</v>
      </c>
      <c r="N309" s="692">
        <v>500</v>
      </c>
      <c r="O309" s="489">
        <f t="shared" si="20"/>
        <v>510</v>
      </c>
      <c r="P309" s="490">
        <f t="shared" si="21"/>
        <v>520</v>
      </c>
      <c r="R309" s="732"/>
      <c r="U309" s="492"/>
    </row>
    <row r="310" spans="1:21" s="491" customFormat="1" ht="15">
      <c r="A310" s="499"/>
      <c r="B310" s="500"/>
      <c r="C310" s="501"/>
      <c r="D310" s="501"/>
      <c r="E310" s="501"/>
      <c r="F310" s="502"/>
      <c r="G310" s="503"/>
      <c r="H310" s="124" t="s">
        <v>335</v>
      </c>
      <c r="I310" s="124"/>
      <c r="J310" s="124"/>
      <c r="K310" s="124"/>
      <c r="L310" s="488">
        <v>500</v>
      </c>
      <c r="M310" s="488">
        <v>0</v>
      </c>
      <c r="N310" s="691">
        <v>0</v>
      </c>
      <c r="O310" s="489">
        <f t="shared" si="20"/>
        <v>0</v>
      </c>
      <c r="P310" s="490">
        <f t="shared" si="21"/>
        <v>0</v>
      </c>
      <c r="R310" s="732"/>
      <c r="U310" s="492"/>
    </row>
    <row r="311" spans="1:21" s="491" customFormat="1" ht="15">
      <c r="A311" s="493"/>
      <c r="B311" s="494"/>
      <c r="C311" s="495"/>
      <c r="D311" s="495"/>
      <c r="E311" s="495"/>
      <c r="F311" s="496"/>
      <c r="G311" s="497"/>
      <c r="H311" s="31" t="s">
        <v>336</v>
      </c>
      <c r="I311" s="31"/>
      <c r="J311" s="31"/>
      <c r="K311" s="31"/>
      <c r="L311" s="498">
        <v>450</v>
      </c>
      <c r="M311" s="498">
        <v>450</v>
      </c>
      <c r="N311" s="692">
        <v>300</v>
      </c>
      <c r="O311" s="489">
        <f t="shared" si="20"/>
        <v>306</v>
      </c>
      <c r="P311" s="490">
        <f t="shared" si="21"/>
        <v>312</v>
      </c>
      <c r="R311" s="732"/>
      <c r="U311" s="492"/>
    </row>
    <row r="312" spans="1:21" s="491" customFormat="1" ht="15">
      <c r="A312" s="499"/>
      <c r="B312" s="500"/>
      <c r="C312" s="501"/>
      <c r="D312" s="501"/>
      <c r="E312" s="501"/>
      <c r="F312" s="502"/>
      <c r="G312" s="503"/>
      <c r="H312" s="124" t="s">
        <v>337</v>
      </c>
      <c r="I312" s="124"/>
      <c r="J312" s="124"/>
      <c r="K312" s="124"/>
      <c r="L312" s="488">
        <v>800</v>
      </c>
      <c r="M312" s="488">
        <v>800</v>
      </c>
      <c r="N312" s="691">
        <v>800</v>
      </c>
      <c r="O312" s="489">
        <f t="shared" si="20"/>
        <v>816</v>
      </c>
      <c r="P312" s="490">
        <f t="shared" si="21"/>
        <v>832</v>
      </c>
      <c r="R312" s="732"/>
      <c r="U312" s="492"/>
    </row>
    <row r="313" spans="1:16" ht="15">
      <c r="A313" s="79"/>
      <c r="B313" s="80"/>
      <c r="C313" s="279"/>
      <c r="D313" s="279"/>
      <c r="E313" s="279"/>
      <c r="F313" s="81"/>
      <c r="G313" s="73"/>
      <c r="H313" s="9" t="s">
        <v>338</v>
      </c>
      <c r="I313" s="9"/>
      <c r="J313" s="9"/>
      <c r="K313" s="9"/>
      <c r="L313" s="46">
        <v>800</v>
      </c>
      <c r="M313" s="46">
        <v>800</v>
      </c>
      <c r="N313" s="693">
        <v>1200</v>
      </c>
      <c r="O313" s="11">
        <f t="shared" si="20"/>
        <v>1224</v>
      </c>
      <c r="P313" s="18">
        <f t="shared" si="21"/>
        <v>1248</v>
      </c>
    </row>
    <row r="314" spans="1:16" ht="15">
      <c r="A314" s="79"/>
      <c r="B314" s="80"/>
      <c r="C314" s="279"/>
      <c r="D314" s="279"/>
      <c r="E314" s="279"/>
      <c r="F314" s="81"/>
      <c r="G314" s="73"/>
      <c r="H314" s="9" t="s">
        <v>560</v>
      </c>
      <c r="I314" s="9"/>
      <c r="J314" s="9"/>
      <c r="K314" s="9"/>
      <c r="L314" s="46">
        <v>0</v>
      </c>
      <c r="M314" s="46">
        <v>0</v>
      </c>
      <c r="N314" s="693">
        <v>650</v>
      </c>
      <c r="O314" s="11">
        <f t="shared" si="20"/>
        <v>663</v>
      </c>
      <c r="P314" s="18">
        <f t="shared" si="21"/>
        <v>676</v>
      </c>
    </row>
    <row r="315" spans="1:16" ht="15">
      <c r="A315" s="79"/>
      <c r="B315" s="80"/>
      <c r="C315" s="279"/>
      <c r="D315" s="279"/>
      <c r="E315" s="279"/>
      <c r="F315" s="81"/>
      <c r="G315" s="73"/>
      <c r="H315" s="9" t="s">
        <v>443</v>
      </c>
      <c r="I315" s="9"/>
      <c r="J315" s="9"/>
      <c r="K315" s="9"/>
      <c r="L315" s="46">
        <v>500</v>
      </c>
      <c r="M315" s="46">
        <v>0</v>
      </c>
      <c r="N315" s="693">
        <v>500</v>
      </c>
      <c r="O315" s="11">
        <f t="shared" si="20"/>
        <v>510</v>
      </c>
      <c r="P315" s="18">
        <f t="shared" si="21"/>
        <v>520</v>
      </c>
    </row>
    <row r="316" spans="1:16" ht="15">
      <c r="A316" s="79"/>
      <c r="B316" s="80"/>
      <c r="C316" s="279"/>
      <c r="D316" s="279"/>
      <c r="E316" s="279"/>
      <c r="F316" s="81"/>
      <c r="G316" s="73"/>
      <c r="H316" s="9" t="s">
        <v>444</v>
      </c>
      <c r="I316" s="9"/>
      <c r="J316" s="9"/>
      <c r="K316" s="9"/>
      <c r="L316" s="46">
        <v>400</v>
      </c>
      <c r="M316" s="46">
        <v>0</v>
      </c>
      <c r="N316" s="693">
        <v>500</v>
      </c>
      <c r="O316" s="11">
        <f t="shared" si="20"/>
        <v>510</v>
      </c>
      <c r="P316" s="18">
        <f t="shared" si="21"/>
        <v>520</v>
      </c>
    </row>
    <row r="317" spans="1:16" ht="15">
      <c r="A317" s="79"/>
      <c r="B317" s="80"/>
      <c r="C317" s="279"/>
      <c r="D317" s="279"/>
      <c r="E317" s="279"/>
      <c r="F317" s="81"/>
      <c r="G317" s="73"/>
      <c r="H317" s="9" t="s">
        <v>561</v>
      </c>
      <c r="I317" s="9"/>
      <c r="J317" s="9"/>
      <c r="K317" s="9"/>
      <c r="L317" s="46">
        <v>0</v>
      </c>
      <c r="M317" s="46">
        <v>0</v>
      </c>
      <c r="N317" s="693">
        <v>800</v>
      </c>
      <c r="O317" s="11">
        <f t="shared" si="20"/>
        <v>816</v>
      </c>
      <c r="P317" s="18">
        <f t="shared" si="21"/>
        <v>832</v>
      </c>
    </row>
    <row r="318" spans="1:16" ht="15">
      <c r="A318" s="79"/>
      <c r="B318" s="80"/>
      <c r="C318" s="279"/>
      <c r="D318" s="279"/>
      <c r="E318" s="279"/>
      <c r="F318" s="81"/>
      <c r="G318" s="73"/>
      <c r="H318" s="9" t="s">
        <v>558</v>
      </c>
      <c r="I318" s="9"/>
      <c r="J318" s="9"/>
      <c r="K318" s="9"/>
      <c r="L318" s="46">
        <v>0</v>
      </c>
      <c r="M318" s="46">
        <v>0</v>
      </c>
      <c r="N318" s="693">
        <v>1500</v>
      </c>
      <c r="O318" s="11">
        <f t="shared" si="20"/>
        <v>1530</v>
      </c>
      <c r="P318" s="18">
        <f t="shared" si="21"/>
        <v>1560</v>
      </c>
    </row>
    <row r="319" spans="1:16" ht="15">
      <c r="A319" s="88"/>
      <c r="B319" s="89"/>
      <c r="C319" s="278"/>
      <c r="D319" s="278"/>
      <c r="E319" s="278"/>
      <c r="F319" s="90"/>
      <c r="G319" s="91"/>
      <c r="H319" s="9" t="s">
        <v>559</v>
      </c>
      <c r="I319" s="9"/>
      <c r="J319" s="9"/>
      <c r="K319" s="9"/>
      <c r="L319" s="46">
        <v>1100</v>
      </c>
      <c r="M319" s="46">
        <v>0</v>
      </c>
      <c r="N319" s="693">
        <v>0</v>
      </c>
      <c r="O319" s="11">
        <f t="shared" si="20"/>
        <v>0</v>
      </c>
      <c r="P319" s="18">
        <f t="shared" si="21"/>
        <v>0</v>
      </c>
    </row>
    <row r="320" spans="1:16" ht="15">
      <c r="A320" s="79"/>
      <c r="B320" s="80"/>
      <c r="C320" s="279"/>
      <c r="D320" s="279"/>
      <c r="E320" s="279"/>
      <c r="F320" s="81"/>
      <c r="G320" s="73"/>
      <c r="H320" s="9" t="s">
        <v>486</v>
      </c>
      <c r="I320" s="9"/>
      <c r="J320" s="9"/>
      <c r="K320" s="9"/>
      <c r="L320" s="46">
        <v>8000</v>
      </c>
      <c r="M320" s="46">
        <v>8000</v>
      </c>
      <c r="N320" s="693">
        <v>8000</v>
      </c>
      <c r="O320" s="11">
        <f t="shared" si="20"/>
        <v>8160</v>
      </c>
      <c r="P320" s="18">
        <f t="shared" si="21"/>
        <v>8320</v>
      </c>
    </row>
    <row r="321" spans="1:16" ht="15">
      <c r="A321" s="79"/>
      <c r="B321" s="80"/>
      <c r="C321" s="279"/>
      <c r="D321" s="279"/>
      <c r="E321" s="279"/>
      <c r="F321" s="81"/>
      <c r="G321" s="73"/>
      <c r="H321" s="9" t="s">
        <v>563</v>
      </c>
      <c r="I321" s="9"/>
      <c r="J321" s="9"/>
      <c r="K321" s="9"/>
      <c r="L321" s="46">
        <v>4500</v>
      </c>
      <c r="M321" s="46">
        <v>4500</v>
      </c>
      <c r="N321" s="693">
        <v>0</v>
      </c>
      <c r="O321" s="12">
        <f t="shared" si="20"/>
        <v>0</v>
      </c>
      <c r="P321" s="22">
        <f t="shared" si="21"/>
        <v>0</v>
      </c>
    </row>
    <row r="322" spans="1:16" ht="15">
      <c r="A322" s="6">
        <v>10</v>
      </c>
      <c r="B322" s="3">
        <v>2</v>
      </c>
      <c r="C322" s="523"/>
      <c r="D322" s="279"/>
      <c r="E322" s="279"/>
      <c r="F322" s="81"/>
      <c r="G322" s="73"/>
      <c r="H322" s="5" t="s">
        <v>141</v>
      </c>
      <c r="I322" s="5"/>
      <c r="J322" s="5"/>
      <c r="K322" s="5"/>
      <c r="L322" s="73">
        <f>SUM(L305:L321)</f>
        <v>19850</v>
      </c>
      <c r="M322" s="73">
        <f>SUM(M305:M321)</f>
        <v>17350</v>
      </c>
      <c r="N322" s="694">
        <f>SUM(N305:N321)</f>
        <v>16850</v>
      </c>
      <c r="O322" s="29">
        <f aca="true" t="shared" si="22" ref="O322:O332">N322+N322*$O$285</f>
        <v>17187</v>
      </c>
      <c r="P322" s="30">
        <f aca="true" t="shared" si="23" ref="P322:P332">N322+N322*$P$285</f>
        <v>17524</v>
      </c>
    </row>
    <row r="323" spans="1:16" ht="15">
      <c r="A323" s="149">
        <v>10</v>
      </c>
      <c r="B323" s="150">
        <v>3</v>
      </c>
      <c r="C323" s="151" t="s">
        <v>25</v>
      </c>
      <c r="D323" s="151"/>
      <c r="E323" s="151"/>
      <c r="F323" s="152"/>
      <c r="G323" s="153" t="s">
        <v>142</v>
      </c>
      <c r="H323" s="153"/>
      <c r="I323" s="153"/>
      <c r="J323" s="145"/>
      <c r="K323" s="145"/>
      <c r="L323" s="46"/>
      <c r="M323" s="46"/>
      <c r="N323" s="519"/>
      <c r="O323" s="147">
        <f t="shared" si="22"/>
        <v>0</v>
      </c>
      <c r="P323" s="224">
        <f t="shared" si="23"/>
        <v>0</v>
      </c>
    </row>
    <row r="324" spans="1:16" ht="15">
      <c r="A324" s="225">
        <v>10</v>
      </c>
      <c r="B324" s="226">
        <v>3</v>
      </c>
      <c r="C324" s="227">
        <v>1</v>
      </c>
      <c r="D324" s="227">
        <v>41</v>
      </c>
      <c r="E324" s="227">
        <v>625</v>
      </c>
      <c r="F324" s="228" t="s">
        <v>12</v>
      </c>
      <c r="G324" s="229"/>
      <c r="H324" s="229" t="s">
        <v>17</v>
      </c>
      <c r="I324" s="229"/>
      <c r="J324" s="229"/>
      <c r="K324" s="229"/>
      <c r="L324" s="86">
        <v>6</v>
      </c>
      <c r="M324" s="86">
        <v>5.92</v>
      </c>
      <c r="N324" s="683">
        <f>N327*0.8%</f>
        <v>12</v>
      </c>
      <c r="O324" s="147">
        <f t="shared" si="22"/>
        <v>12.24</v>
      </c>
      <c r="P324" s="224">
        <f t="shared" si="23"/>
        <v>12.48</v>
      </c>
    </row>
    <row r="325" spans="1:16" ht="15">
      <c r="A325" s="134"/>
      <c r="B325" s="135"/>
      <c r="C325" s="136"/>
      <c r="D325" s="136"/>
      <c r="E325" s="136">
        <v>633</v>
      </c>
      <c r="F325" s="137" t="s">
        <v>29</v>
      </c>
      <c r="G325" s="138"/>
      <c r="H325" s="138" t="s">
        <v>30</v>
      </c>
      <c r="I325" s="138"/>
      <c r="J325" s="138"/>
      <c r="K325" s="138"/>
      <c r="L325" s="56">
        <v>20</v>
      </c>
      <c r="M325" s="56">
        <v>20.45</v>
      </c>
      <c r="N325" s="539">
        <v>20</v>
      </c>
      <c r="O325" s="147">
        <f t="shared" si="22"/>
        <v>20.4</v>
      </c>
      <c r="P325" s="224">
        <f t="shared" si="23"/>
        <v>20.8</v>
      </c>
    </row>
    <row r="326" spans="1:16" ht="15">
      <c r="A326" s="142"/>
      <c r="B326" s="143"/>
      <c r="C326" s="522"/>
      <c r="D326" s="522"/>
      <c r="E326" s="522">
        <v>633</v>
      </c>
      <c r="F326" s="144" t="s">
        <v>143</v>
      </c>
      <c r="G326" s="145"/>
      <c r="H326" s="145" t="s">
        <v>144</v>
      </c>
      <c r="I326" s="145"/>
      <c r="J326" s="145"/>
      <c r="K326" s="145"/>
      <c r="L326" s="46">
        <v>332</v>
      </c>
      <c r="M326" s="46">
        <v>282.57</v>
      </c>
      <c r="N326" s="519">
        <v>332</v>
      </c>
      <c r="O326" s="147">
        <f t="shared" si="22"/>
        <v>338.64</v>
      </c>
      <c r="P326" s="224">
        <f t="shared" si="23"/>
        <v>345.28</v>
      </c>
    </row>
    <row r="327" spans="1:16" ht="15">
      <c r="A327" s="134"/>
      <c r="B327" s="135"/>
      <c r="C327" s="136"/>
      <c r="D327" s="136"/>
      <c r="E327" s="136">
        <v>637</v>
      </c>
      <c r="F327" s="137" t="s">
        <v>57</v>
      </c>
      <c r="G327" s="138"/>
      <c r="H327" s="138" t="s">
        <v>58</v>
      </c>
      <c r="I327" s="138"/>
      <c r="J327" s="138"/>
      <c r="K327" s="138"/>
      <c r="L327" s="56">
        <v>700</v>
      </c>
      <c r="M327" s="56">
        <v>748.06</v>
      </c>
      <c r="N327" s="539">
        <v>1500</v>
      </c>
      <c r="O327" s="147">
        <f t="shared" si="22"/>
        <v>1530</v>
      </c>
      <c r="P327" s="224">
        <f t="shared" si="23"/>
        <v>1560</v>
      </c>
    </row>
    <row r="328" spans="1:16" ht="15">
      <c r="A328" s="149">
        <v>10</v>
      </c>
      <c r="B328" s="150">
        <v>3</v>
      </c>
      <c r="C328" s="151"/>
      <c r="D328" s="151"/>
      <c r="E328" s="151"/>
      <c r="F328" s="152"/>
      <c r="G328" s="153"/>
      <c r="H328" s="153" t="s">
        <v>145</v>
      </c>
      <c r="I328" s="153"/>
      <c r="J328" s="153"/>
      <c r="K328" s="153"/>
      <c r="L328" s="73">
        <f>SUM(L324:L327)</f>
        <v>1058</v>
      </c>
      <c r="M328" s="506">
        <f>SUM(M324:M327)</f>
        <v>1057</v>
      </c>
      <c r="N328" s="520">
        <f>SUM(N324:N327)</f>
        <v>1864</v>
      </c>
      <c r="O328" s="230">
        <f t="shared" si="22"/>
        <v>1901.28</v>
      </c>
      <c r="P328" s="231">
        <f t="shared" si="23"/>
        <v>1938.56</v>
      </c>
    </row>
    <row r="329" spans="1:16" ht="15">
      <c r="A329" s="217">
        <v>10</v>
      </c>
      <c r="B329" s="218">
        <v>4</v>
      </c>
      <c r="C329" s="219" t="s">
        <v>25</v>
      </c>
      <c r="D329" s="219"/>
      <c r="E329" s="219"/>
      <c r="F329" s="220"/>
      <c r="G329" s="221" t="s">
        <v>146</v>
      </c>
      <c r="H329" s="221"/>
      <c r="I329" s="221"/>
      <c r="J329" s="221"/>
      <c r="K329" s="221"/>
      <c r="L329" s="91"/>
      <c r="M329" s="91"/>
      <c r="N329" s="686"/>
      <c r="O329" s="147">
        <f t="shared" si="22"/>
        <v>0</v>
      </c>
      <c r="P329" s="224">
        <f t="shared" si="23"/>
        <v>0</v>
      </c>
    </row>
    <row r="330" spans="1:16" ht="15">
      <c r="A330" s="142">
        <v>10</v>
      </c>
      <c r="B330" s="143">
        <v>4</v>
      </c>
      <c r="C330" s="522">
        <v>1</v>
      </c>
      <c r="D330" s="522">
        <v>41</v>
      </c>
      <c r="E330" s="522">
        <v>633</v>
      </c>
      <c r="F330" s="144" t="s">
        <v>29</v>
      </c>
      <c r="G330" s="145"/>
      <c r="H330" s="145" t="s">
        <v>147</v>
      </c>
      <c r="I330" s="145"/>
      <c r="J330" s="145"/>
      <c r="K330" s="145"/>
      <c r="L330" s="46">
        <v>33</v>
      </c>
      <c r="M330" s="46">
        <v>34</v>
      </c>
      <c r="N330" s="519">
        <v>500</v>
      </c>
      <c r="O330" s="147">
        <f t="shared" si="22"/>
        <v>510</v>
      </c>
      <c r="P330" s="224">
        <f t="shared" si="23"/>
        <v>520</v>
      </c>
    </row>
    <row r="331" spans="1:20" ht="15">
      <c r="A331" s="149">
        <v>10</v>
      </c>
      <c r="B331" s="150">
        <v>4</v>
      </c>
      <c r="C331" s="151"/>
      <c r="D331" s="151"/>
      <c r="E331" s="151"/>
      <c r="F331" s="152"/>
      <c r="G331" s="153"/>
      <c r="H331" s="153" t="s">
        <v>148</v>
      </c>
      <c r="I331" s="153"/>
      <c r="J331" s="153"/>
      <c r="K331" s="153"/>
      <c r="L331" s="73">
        <f>L330</f>
        <v>33</v>
      </c>
      <c r="M331" s="73">
        <f>M330</f>
        <v>34</v>
      </c>
      <c r="N331" s="520">
        <f>N330</f>
        <v>500</v>
      </c>
      <c r="O331" s="230">
        <f t="shared" si="22"/>
        <v>510</v>
      </c>
      <c r="P331" s="231">
        <f t="shared" si="23"/>
        <v>520</v>
      </c>
      <c r="R331" s="24" t="s">
        <v>697</v>
      </c>
      <c r="T331" s="512"/>
    </row>
    <row r="332" spans="1:16" ht="15">
      <c r="A332" s="234">
        <v>10</v>
      </c>
      <c r="B332" s="235"/>
      <c r="C332" s="236"/>
      <c r="D332" s="236"/>
      <c r="E332" s="236"/>
      <c r="F332" s="237"/>
      <c r="G332" s="238"/>
      <c r="H332" s="238" t="s">
        <v>149</v>
      </c>
      <c r="I332" s="238"/>
      <c r="J332" s="238"/>
      <c r="K332" s="238"/>
      <c r="L332" s="444">
        <f>L302+L322+L328+L331</f>
        <v>68491</v>
      </c>
      <c r="M332" s="444">
        <f>M302+M322+M328+M331</f>
        <v>58249.69</v>
      </c>
      <c r="N332" s="543">
        <f>N302+N322+N328+N331</f>
        <v>54064</v>
      </c>
      <c r="O332" s="239">
        <f t="shared" si="22"/>
        <v>55145.28</v>
      </c>
      <c r="P332" s="240">
        <f t="shared" si="23"/>
        <v>56226.56</v>
      </c>
    </row>
    <row r="333" spans="1:16" ht="15">
      <c r="A333" s="66"/>
      <c r="B333" s="67"/>
      <c r="C333" s="68"/>
      <c r="D333" s="68"/>
      <c r="E333" s="68"/>
      <c r="F333" s="69"/>
      <c r="G333" s="56"/>
      <c r="H333" s="56"/>
      <c r="I333" s="56"/>
      <c r="J333" s="56"/>
      <c r="K333" s="56"/>
      <c r="L333" s="56"/>
      <c r="M333" s="56"/>
      <c r="N333" s="539"/>
      <c r="O333" s="57"/>
      <c r="P333" s="58"/>
    </row>
    <row r="334" spans="1:16" ht="15">
      <c r="A334" s="232">
        <v>11</v>
      </c>
      <c r="B334" s="739" t="s">
        <v>24</v>
      </c>
      <c r="C334" s="740"/>
      <c r="D334" s="740"/>
      <c r="E334" s="741"/>
      <c r="F334" s="233" t="s">
        <v>150</v>
      </c>
      <c r="G334" s="145"/>
      <c r="H334" s="145"/>
      <c r="I334" s="145"/>
      <c r="J334" s="145"/>
      <c r="K334" s="145"/>
      <c r="L334" s="46"/>
      <c r="M334" s="46"/>
      <c r="N334" s="519"/>
      <c r="O334" s="140"/>
      <c r="P334" s="141"/>
    </row>
    <row r="335" spans="1:16" ht="15">
      <c r="A335" s="134" t="s">
        <v>0</v>
      </c>
      <c r="B335" s="135" t="s">
        <v>1</v>
      </c>
      <c r="C335" s="136" t="s">
        <v>2</v>
      </c>
      <c r="D335" s="136" t="s">
        <v>3</v>
      </c>
      <c r="E335" s="136" t="s">
        <v>4</v>
      </c>
      <c r="F335" s="137" t="s">
        <v>5</v>
      </c>
      <c r="G335" s="138" t="s">
        <v>6</v>
      </c>
      <c r="H335" s="138" t="s">
        <v>7</v>
      </c>
      <c r="I335" s="138"/>
      <c r="J335" s="138"/>
      <c r="K335" s="138"/>
      <c r="L335" s="56"/>
      <c r="M335" s="56"/>
      <c r="N335" s="539"/>
      <c r="O335" s="139"/>
      <c r="P335" s="148"/>
    </row>
    <row r="336" spans="1:16" ht="15">
      <c r="A336" s="149">
        <v>11</v>
      </c>
      <c r="B336" s="150">
        <v>1</v>
      </c>
      <c r="C336" s="151" t="s">
        <v>25</v>
      </c>
      <c r="D336" s="151"/>
      <c r="E336" s="151"/>
      <c r="F336" s="152"/>
      <c r="G336" s="153" t="s">
        <v>151</v>
      </c>
      <c r="H336" s="153"/>
      <c r="I336" s="145"/>
      <c r="J336" s="145"/>
      <c r="K336" s="145"/>
      <c r="L336" s="46"/>
      <c r="M336" s="46"/>
      <c r="N336" s="519"/>
      <c r="O336" s="140"/>
      <c r="P336" s="141"/>
    </row>
    <row r="337" spans="1:16" ht="15">
      <c r="A337" s="142">
        <v>11</v>
      </c>
      <c r="B337" s="143">
        <v>1</v>
      </c>
      <c r="C337" s="522">
        <v>1</v>
      </c>
      <c r="D337" s="522">
        <v>41</v>
      </c>
      <c r="E337" s="522">
        <v>625</v>
      </c>
      <c r="F337" s="144" t="s">
        <v>12</v>
      </c>
      <c r="G337" s="145"/>
      <c r="H337" s="145" t="s">
        <v>17</v>
      </c>
      <c r="I337" s="145"/>
      <c r="J337" s="145"/>
      <c r="K337" s="145"/>
      <c r="L337" s="46">
        <v>4</v>
      </c>
      <c r="M337" s="46">
        <v>0</v>
      </c>
      <c r="N337" s="519">
        <v>0</v>
      </c>
      <c r="O337" s="140">
        <f>N337+N337*$O$285</f>
        <v>0</v>
      </c>
      <c r="P337" s="141">
        <f>N337+N337*$P$285</f>
        <v>0</v>
      </c>
    </row>
    <row r="338" spans="1:16" ht="15">
      <c r="A338" s="142"/>
      <c r="B338" s="143"/>
      <c r="C338" s="522"/>
      <c r="D338" s="522"/>
      <c r="E338" s="522">
        <v>632</v>
      </c>
      <c r="F338" s="144" t="s">
        <v>10</v>
      </c>
      <c r="G338" s="145"/>
      <c r="H338" s="145" t="s">
        <v>152</v>
      </c>
      <c r="I338" s="145"/>
      <c r="J338" s="145"/>
      <c r="K338" s="145"/>
      <c r="L338" s="46">
        <v>3100</v>
      </c>
      <c r="M338" s="46">
        <v>2887.98</v>
      </c>
      <c r="N338" s="519">
        <v>3100</v>
      </c>
      <c r="O338" s="140">
        <f aca="true" t="shared" si="24" ref="O338:O349">N338+N338*$O$285</f>
        <v>3162</v>
      </c>
      <c r="P338" s="141">
        <f aca="true" t="shared" si="25" ref="P338:P349">N338+N338*$P$285</f>
        <v>3224</v>
      </c>
    </row>
    <row r="339" spans="1:16" ht="15">
      <c r="A339" s="142"/>
      <c r="B339" s="143"/>
      <c r="C339" s="522"/>
      <c r="D339" s="522"/>
      <c r="E339" s="522">
        <v>633</v>
      </c>
      <c r="F339" s="144" t="s">
        <v>10</v>
      </c>
      <c r="G339" s="145"/>
      <c r="H339" s="145" t="s">
        <v>153</v>
      </c>
      <c r="I339" s="145"/>
      <c r="J339" s="145"/>
      <c r="K339" s="145"/>
      <c r="L339" s="46">
        <v>1000</v>
      </c>
      <c r="M339" s="46">
        <v>949.72</v>
      </c>
      <c r="N339" s="519">
        <v>1000</v>
      </c>
      <c r="O339" s="140">
        <f t="shared" si="24"/>
        <v>1020</v>
      </c>
      <c r="P339" s="141">
        <f t="shared" si="25"/>
        <v>1040</v>
      </c>
    </row>
    <row r="340" spans="1:16" ht="15">
      <c r="A340" s="142"/>
      <c r="B340" s="143"/>
      <c r="C340" s="522"/>
      <c r="D340" s="522"/>
      <c r="E340" s="522">
        <v>633</v>
      </c>
      <c r="F340" s="144" t="s">
        <v>76</v>
      </c>
      <c r="G340" s="145"/>
      <c r="H340" s="145" t="s">
        <v>154</v>
      </c>
      <c r="I340" s="145"/>
      <c r="J340" s="145"/>
      <c r="K340" s="145"/>
      <c r="L340" s="46">
        <v>450</v>
      </c>
      <c r="M340" s="46">
        <v>295.22</v>
      </c>
      <c r="N340" s="519">
        <v>450</v>
      </c>
      <c r="O340" s="140">
        <f t="shared" si="24"/>
        <v>459</v>
      </c>
      <c r="P340" s="141">
        <f t="shared" si="25"/>
        <v>468</v>
      </c>
    </row>
    <row r="341" spans="1:16" ht="15">
      <c r="A341" s="142"/>
      <c r="B341" s="143"/>
      <c r="C341" s="522"/>
      <c r="D341" s="522"/>
      <c r="E341" s="522">
        <v>635</v>
      </c>
      <c r="F341" s="144" t="s">
        <v>29</v>
      </c>
      <c r="G341" s="145"/>
      <c r="H341" s="145" t="s">
        <v>435</v>
      </c>
      <c r="I341" s="145"/>
      <c r="J341" s="145"/>
      <c r="K341" s="145"/>
      <c r="L341" s="46">
        <v>1000</v>
      </c>
      <c r="M341" s="46">
        <v>416.81</v>
      </c>
      <c r="N341" s="519">
        <v>1000</v>
      </c>
      <c r="O341" s="140">
        <f t="shared" si="24"/>
        <v>1020</v>
      </c>
      <c r="P341" s="141">
        <f t="shared" si="25"/>
        <v>1040</v>
      </c>
    </row>
    <row r="342" spans="1:16" ht="15">
      <c r="A342" s="142"/>
      <c r="B342" s="143"/>
      <c r="C342" s="522"/>
      <c r="D342" s="522"/>
      <c r="E342" s="522">
        <v>637</v>
      </c>
      <c r="F342" s="144" t="s">
        <v>13</v>
      </c>
      <c r="G342" s="145"/>
      <c r="H342" s="145" t="s">
        <v>463</v>
      </c>
      <c r="I342" s="145"/>
      <c r="J342" s="145"/>
      <c r="K342" s="145"/>
      <c r="L342" s="46">
        <v>200</v>
      </c>
      <c r="M342" s="46">
        <v>42.56</v>
      </c>
      <c r="N342" s="519">
        <v>200</v>
      </c>
      <c r="O342" s="140">
        <f t="shared" si="24"/>
        <v>204</v>
      </c>
      <c r="P342" s="141">
        <f t="shared" si="25"/>
        <v>208</v>
      </c>
    </row>
    <row r="343" spans="1:16" ht="15">
      <c r="A343" s="142"/>
      <c r="B343" s="143"/>
      <c r="C343" s="522"/>
      <c r="D343" s="522"/>
      <c r="E343" s="522">
        <v>637</v>
      </c>
      <c r="F343" s="144" t="s">
        <v>76</v>
      </c>
      <c r="G343" s="145"/>
      <c r="H343" s="145" t="s">
        <v>155</v>
      </c>
      <c r="I343" s="145"/>
      <c r="J343" s="145"/>
      <c r="K343" s="145"/>
      <c r="L343" s="46">
        <v>60</v>
      </c>
      <c r="M343" s="46">
        <v>0</v>
      </c>
      <c r="N343" s="519">
        <v>60</v>
      </c>
      <c r="O343" s="140">
        <f t="shared" si="24"/>
        <v>61.2</v>
      </c>
      <c r="P343" s="141">
        <f t="shared" si="25"/>
        <v>62.4</v>
      </c>
    </row>
    <row r="344" spans="1:16" ht="15">
      <c r="A344" s="142"/>
      <c r="B344" s="143"/>
      <c r="C344" s="522"/>
      <c r="D344" s="522"/>
      <c r="E344" s="522">
        <v>637</v>
      </c>
      <c r="F344" s="144" t="s">
        <v>57</v>
      </c>
      <c r="G344" s="145"/>
      <c r="H344" s="145" t="s">
        <v>156</v>
      </c>
      <c r="I344" s="145"/>
      <c r="J344" s="145"/>
      <c r="K344" s="145"/>
      <c r="L344" s="46">
        <v>500</v>
      </c>
      <c r="M344" s="46">
        <v>0</v>
      </c>
      <c r="N344" s="519">
        <v>0</v>
      </c>
      <c r="O344" s="140">
        <f t="shared" si="24"/>
        <v>0</v>
      </c>
      <c r="P344" s="141">
        <f t="shared" si="25"/>
        <v>0</v>
      </c>
    </row>
    <row r="345" spans="1:16" ht="15">
      <c r="A345" s="149">
        <v>11</v>
      </c>
      <c r="B345" s="150">
        <v>1</v>
      </c>
      <c r="C345" s="151">
        <v>1</v>
      </c>
      <c r="D345" s="151"/>
      <c r="E345" s="151"/>
      <c r="F345" s="152"/>
      <c r="G345" s="153"/>
      <c r="H345" s="153" t="s">
        <v>157</v>
      </c>
      <c r="I345" s="153"/>
      <c r="J345" s="153"/>
      <c r="K345" s="153"/>
      <c r="L345" s="73">
        <f>SUM(L337:L344)</f>
        <v>6314</v>
      </c>
      <c r="M345" s="73">
        <f>SUM(M337:M344)</f>
        <v>4592.290000000001</v>
      </c>
      <c r="N345" s="520">
        <f>SUM(N337:N344)</f>
        <v>5810</v>
      </c>
      <c r="O345" s="154">
        <f t="shared" si="24"/>
        <v>5926.2</v>
      </c>
      <c r="P345" s="155">
        <f t="shared" si="25"/>
        <v>6042.4</v>
      </c>
    </row>
    <row r="346" spans="1:16" ht="15">
      <c r="A346" s="132">
        <v>11</v>
      </c>
      <c r="B346" s="7">
        <v>1</v>
      </c>
      <c r="C346" s="55">
        <v>2</v>
      </c>
      <c r="D346" s="55">
        <v>41</v>
      </c>
      <c r="E346" s="55">
        <v>717</v>
      </c>
      <c r="F346" s="8" t="s">
        <v>11</v>
      </c>
      <c r="G346" s="5"/>
      <c r="H346" s="9" t="s">
        <v>474</v>
      </c>
      <c r="I346" s="9"/>
      <c r="J346" s="9"/>
      <c r="K346" s="9"/>
      <c r="L346" s="46">
        <v>3200</v>
      </c>
      <c r="M346" s="46">
        <v>0</v>
      </c>
      <c r="N346" s="520">
        <v>3200</v>
      </c>
      <c r="O346" s="154">
        <f t="shared" si="24"/>
        <v>3264</v>
      </c>
      <c r="P346" s="155">
        <f t="shared" si="25"/>
        <v>3328</v>
      </c>
    </row>
    <row r="347" spans="1:16" ht="15">
      <c r="A347" s="132">
        <v>11</v>
      </c>
      <c r="B347" s="7">
        <v>1</v>
      </c>
      <c r="C347" s="55">
        <v>2</v>
      </c>
      <c r="D347" s="55">
        <v>41</v>
      </c>
      <c r="E347" s="55">
        <v>717</v>
      </c>
      <c r="F347" s="8" t="s">
        <v>11</v>
      </c>
      <c r="G347" s="9"/>
      <c r="H347" s="9" t="s">
        <v>475</v>
      </c>
      <c r="I347" s="9"/>
      <c r="J347" s="9"/>
      <c r="K347" s="9"/>
      <c r="L347" s="46">
        <v>6166</v>
      </c>
      <c r="M347" s="46">
        <v>0</v>
      </c>
      <c r="N347" s="519">
        <v>8000</v>
      </c>
      <c r="O347" s="154">
        <f t="shared" si="24"/>
        <v>8160</v>
      </c>
      <c r="P347" s="155">
        <f t="shared" si="25"/>
        <v>8320</v>
      </c>
    </row>
    <row r="348" spans="1:16" ht="15">
      <c r="A348" s="6">
        <v>11</v>
      </c>
      <c r="B348" s="3">
        <v>1</v>
      </c>
      <c r="C348" s="523">
        <v>2</v>
      </c>
      <c r="D348" s="523"/>
      <c r="E348" s="523"/>
      <c r="F348" s="4"/>
      <c r="G348" s="5"/>
      <c r="H348" s="5" t="s">
        <v>158</v>
      </c>
      <c r="I348" s="5"/>
      <c r="J348" s="5"/>
      <c r="K348" s="5"/>
      <c r="L348" s="73">
        <f>L346+L347</f>
        <v>9366</v>
      </c>
      <c r="M348" s="73">
        <f>M346+M347</f>
        <v>0</v>
      </c>
      <c r="N348" s="520">
        <f>SUM(N346:N347)</f>
        <v>11200</v>
      </c>
      <c r="O348" s="11">
        <f t="shared" si="24"/>
        <v>11424</v>
      </c>
      <c r="P348" s="18">
        <f t="shared" si="25"/>
        <v>11648</v>
      </c>
    </row>
    <row r="349" spans="1:21" s="93" customFormat="1" ht="15">
      <c r="A349" s="329">
        <v>11</v>
      </c>
      <c r="B349" s="241"/>
      <c r="C349" s="242"/>
      <c r="D349" s="242"/>
      <c r="E349" s="242"/>
      <c r="F349" s="243"/>
      <c r="G349" s="244"/>
      <c r="H349" s="244" t="s">
        <v>159</v>
      </c>
      <c r="I349" s="244"/>
      <c r="J349" s="244"/>
      <c r="K349" s="244"/>
      <c r="L349" s="440">
        <f>L345+L348</f>
        <v>15680</v>
      </c>
      <c r="M349" s="440">
        <f>M345+M348</f>
        <v>4592.290000000001</v>
      </c>
      <c r="N349" s="688">
        <f>N345+N348</f>
        <v>17010</v>
      </c>
      <c r="O349" s="245">
        <f t="shared" si="24"/>
        <v>17350.2</v>
      </c>
      <c r="P349" s="330">
        <f t="shared" si="25"/>
        <v>17690.4</v>
      </c>
      <c r="R349" s="733"/>
      <c r="U349" s="94"/>
    </row>
    <row r="350" spans="1:16" ht="15">
      <c r="A350" s="82"/>
      <c r="B350" s="83"/>
      <c r="C350" s="84"/>
      <c r="D350" s="84"/>
      <c r="E350" s="84"/>
      <c r="F350" s="85"/>
      <c r="G350" s="86"/>
      <c r="H350" s="86"/>
      <c r="I350" s="86"/>
      <c r="J350" s="86"/>
      <c r="K350" s="86"/>
      <c r="L350" s="86"/>
      <c r="M350" s="86"/>
      <c r="N350" s="683"/>
      <c r="O350" s="77"/>
      <c r="P350" s="87"/>
    </row>
    <row r="351" spans="1:16" ht="15">
      <c r="A351" s="246">
        <v>12</v>
      </c>
      <c r="B351" s="742" t="s">
        <v>24</v>
      </c>
      <c r="C351" s="743"/>
      <c r="D351" s="743"/>
      <c r="E351" s="744"/>
      <c r="F351" s="247" t="s">
        <v>160</v>
      </c>
      <c r="G351" s="248"/>
      <c r="H351" s="248"/>
      <c r="I351" s="248"/>
      <c r="J351" s="145"/>
      <c r="K351" s="145"/>
      <c r="L351" s="46"/>
      <c r="M351" s="46"/>
      <c r="N351" s="519"/>
      <c r="O351" s="140">
        <v>0.02</v>
      </c>
      <c r="P351" s="141">
        <v>0.04</v>
      </c>
    </row>
    <row r="352" spans="1:16" ht="15">
      <c r="A352" s="134" t="s">
        <v>0</v>
      </c>
      <c r="B352" s="135" t="s">
        <v>1</v>
      </c>
      <c r="C352" s="136" t="s">
        <v>2</v>
      </c>
      <c r="D352" s="136" t="s">
        <v>3</v>
      </c>
      <c r="E352" s="136" t="s">
        <v>4</v>
      </c>
      <c r="F352" s="137" t="s">
        <v>5</v>
      </c>
      <c r="G352" s="138" t="s">
        <v>6</v>
      </c>
      <c r="H352" s="138" t="s">
        <v>7</v>
      </c>
      <c r="I352" s="138"/>
      <c r="J352" s="138"/>
      <c r="K352" s="138"/>
      <c r="L352" s="56"/>
      <c r="M352" s="56"/>
      <c r="N352" s="539"/>
      <c r="O352" s="139"/>
      <c r="P352" s="148"/>
    </row>
    <row r="353" spans="1:16" ht="15">
      <c r="A353" s="149">
        <v>12</v>
      </c>
      <c r="B353" s="150">
        <v>1</v>
      </c>
      <c r="C353" s="151" t="s">
        <v>25</v>
      </c>
      <c r="D353" s="151"/>
      <c r="E353" s="151"/>
      <c r="F353" s="152"/>
      <c r="G353" s="153" t="s">
        <v>161</v>
      </c>
      <c r="H353" s="153"/>
      <c r="I353" s="153"/>
      <c r="J353" s="145"/>
      <c r="K353" s="145"/>
      <c r="L353" s="46"/>
      <c r="M353" s="46"/>
      <c r="N353" s="519"/>
      <c r="O353" s="140"/>
      <c r="P353" s="141"/>
    </row>
    <row r="354" spans="1:16" ht="15">
      <c r="A354" s="134">
        <v>12</v>
      </c>
      <c r="B354" s="249">
        <v>1</v>
      </c>
      <c r="C354" s="136">
        <v>1</v>
      </c>
      <c r="D354" s="136">
        <v>41</v>
      </c>
      <c r="E354" s="136">
        <v>632</v>
      </c>
      <c r="F354" s="137" t="s">
        <v>10</v>
      </c>
      <c r="G354" s="138"/>
      <c r="H354" s="138" t="s">
        <v>162</v>
      </c>
      <c r="I354" s="138"/>
      <c r="J354" s="138"/>
      <c r="K354" s="138"/>
      <c r="L354" s="56">
        <v>15825</v>
      </c>
      <c r="M354" s="56">
        <v>13163.38</v>
      </c>
      <c r="N354" s="539">
        <v>15000</v>
      </c>
      <c r="O354" s="140">
        <f>N354+N354*$O$351</f>
        <v>15300</v>
      </c>
      <c r="P354" s="141">
        <f>N354+N354*$P$351</f>
        <v>15600</v>
      </c>
    </row>
    <row r="355" spans="1:16" ht="15">
      <c r="A355" s="142"/>
      <c r="B355" s="143"/>
      <c r="C355" s="522"/>
      <c r="D355" s="522"/>
      <c r="E355" s="522">
        <v>633</v>
      </c>
      <c r="F355" s="144" t="s">
        <v>29</v>
      </c>
      <c r="G355" s="145"/>
      <c r="H355" s="145" t="s">
        <v>163</v>
      </c>
      <c r="I355" s="145"/>
      <c r="J355" s="145"/>
      <c r="K355" s="145"/>
      <c r="L355" s="46">
        <v>1500</v>
      </c>
      <c r="M355" s="46">
        <v>669.51</v>
      </c>
      <c r="N355" s="519">
        <v>1500</v>
      </c>
      <c r="O355" s="140">
        <f aca="true" t="shared" si="26" ref="O355:O424">N355+N355*$O$351</f>
        <v>1530</v>
      </c>
      <c r="P355" s="141">
        <f aca="true" t="shared" si="27" ref="P355:P424">N355+N355*$P$351</f>
        <v>1560</v>
      </c>
    </row>
    <row r="356" spans="1:16" ht="15">
      <c r="A356" s="134"/>
      <c r="B356" s="135"/>
      <c r="C356" s="136"/>
      <c r="D356" s="136"/>
      <c r="E356" s="136">
        <v>635</v>
      </c>
      <c r="F356" s="137" t="s">
        <v>29</v>
      </c>
      <c r="G356" s="138"/>
      <c r="H356" s="138" t="s">
        <v>164</v>
      </c>
      <c r="I356" s="138"/>
      <c r="J356" s="138"/>
      <c r="K356" s="138"/>
      <c r="L356" s="56">
        <v>2000</v>
      </c>
      <c r="M356" s="56">
        <v>140</v>
      </c>
      <c r="N356" s="539">
        <v>2000</v>
      </c>
      <c r="O356" s="140">
        <f t="shared" si="26"/>
        <v>2040</v>
      </c>
      <c r="P356" s="141">
        <f t="shared" si="27"/>
        <v>2080</v>
      </c>
    </row>
    <row r="357" spans="1:16" ht="15">
      <c r="A357" s="142"/>
      <c r="B357" s="143"/>
      <c r="C357" s="522"/>
      <c r="D357" s="522"/>
      <c r="E357" s="522">
        <v>637</v>
      </c>
      <c r="F357" s="144" t="s">
        <v>13</v>
      </c>
      <c r="G357" s="145"/>
      <c r="H357" s="145" t="s">
        <v>165</v>
      </c>
      <c r="I357" s="145"/>
      <c r="J357" s="145"/>
      <c r="K357" s="145"/>
      <c r="L357" s="46">
        <v>1000</v>
      </c>
      <c r="M357" s="46">
        <v>690</v>
      </c>
      <c r="N357" s="519">
        <v>1000</v>
      </c>
      <c r="O357" s="140">
        <f t="shared" si="26"/>
        <v>1020</v>
      </c>
      <c r="P357" s="141">
        <f t="shared" si="27"/>
        <v>1040</v>
      </c>
    </row>
    <row r="358" spans="1:16" ht="15">
      <c r="A358" s="217">
        <v>12</v>
      </c>
      <c r="B358" s="218">
        <v>1</v>
      </c>
      <c r="C358" s="219"/>
      <c r="D358" s="219"/>
      <c r="E358" s="219"/>
      <c r="F358" s="220"/>
      <c r="G358" s="221"/>
      <c r="H358" s="221" t="s">
        <v>166</v>
      </c>
      <c r="I358" s="221"/>
      <c r="J358" s="221"/>
      <c r="K358" s="221"/>
      <c r="L358" s="91">
        <f>SUM(L354:L357)</f>
        <v>20325</v>
      </c>
      <c r="M358" s="91">
        <f>SUM(M354:M357)</f>
        <v>14662.89</v>
      </c>
      <c r="N358" s="686">
        <f>SUM(N354:N357)</f>
        <v>19500</v>
      </c>
      <c r="O358" s="154">
        <f t="shared" si="26"/>
        <v>19890</v>
      </c>
      <c r="P358" s="155">
        <f t="shared" si="27"/>
        <v>20280</v>
      </c>
    </row>
    <row r="359" spans="1:16" ht="15">
      <c r="A359" s="149">
        <v>12</v>
      </c>
      <c r="B359" s="150">
        <v>2</v>
      </c>
      <c r="C359" s="151" t="s">
        <v>25</v>
      </c>
      <c r="D359" s="151"/>
      <c r="E359" s="151"/>
      <c r="F359" s="152"/>
      <c r="G359" s="153" t="s">
        <v>517</v>
      </c>
      <c r="H359" s="153"/>
      <c r="I359" s="145"/>
      <c r="J359" s="145"/>
      <c r="K359" s="145"/>
      <c r="L359" s="46"/>
      <c r="M359" s="46"/>
      <c r="N359" s="519"/>
      <c r="O359" s="139">
        <f t="shared" si="26"/>
        <v>0</v>
      </c>
      <c r="P359" s="148">
        <f t="shared" si="27"/>
        <v>0</v>
      </c>
    </row>
    <row r="360" spans="1:16" ht="15">
      <c r="A360" s="134">
        <v>12</v>
      </c>
      <c r="B360" s="135">
        <v>2</v>
      </c>
      <c r="C360" s="136">
        <v>1</v>
      </c>
      <c r="D360" s="136">
        <v>111</v>
      </c>
      <c r="E360" s="136">
        <v>611</v>
      </c>
      <c r="F360" s="137"/>
      <c r="G360" s="138"/>
      <c r="H360" s="138" t="s">
        <v>8</v>
      </c>
      <c r="I360" s="138"/>
      <c r="J360" s="138"/>
      <c r="K360" s="138"/>
      <c r="L360" s="56">
        <v>1580.9</v>
      </c>
      <c r="M360" s="56">
        <v>1580.9</v>
      </c>
      <c r="N360" s="539">
        <v>1581</v>
      </c>
      <c r="O360" s="146">
        <f t="shared" si="26"/>
        <v>1612.62</v>
      </c>
      <c r="P360" s="141">
        <f t="shared" si="27"/>
        <v>1644.24</v>
      </c>
    </row>
    <row r="361" spans="1:16" ht="15">
      <c r="A361" s="142"/>
      <c r="B361" s="143"/>
      <c r="C361" s="522"/>
      <c r="D361" s="522"/>
      <c r="E361" s="522">
        <v>621</v>
      </c>
      <c r="F361" s="144"/>
      <c r="G361" s="145"/>
      <c r="H361" s="145" t="s">
        <v>14</v>
      </c>
      <c r="I361" s="145"/>
      <c r="J361" s="145"/>
      <c r="K361" s="145"/>
      <c r="L361" s="46">
        <v>158.09</v>
      </c>
      <c r="M361" s="46">
        <v>158.09</v>
      </c>
      <c r="N361" s="519">
        <v>158</v>
      </c>
      <c r="O361" s="140">
        <f t="shared" si="26"/>
        <v>161.16</v>
      </c>
      <c r="P361" s="141">
        <f t="shared" si="27"/>
        <v>164.32</v>
      </c>
    </row>
    <row r="362" spans="1:16" ht="15">
      <c r="A362" s="134"/>
      <c r="B362" s="135"/>
      <c r="C362" s="136"/>
      <c r="D362" s="136"/>
      <c r="E362" s="136">
        <v>625</v>
      </c>
      <c r="F362" s="137" t="s">
        <v>10</v>
      </c>
      <c r="G362" s="138"/>
      <c r="H362" s="138" t="s">
        <v>15</v>
      </c>
      <c r="I362" s="138"/>
      <c r="J362" s="138"/>
      <c r="K362" s="138"/>
      <c r="L362" s="56">
        <v>22.13</v>
      </c>
      <c r="M362" s="56">
        <v>22.13</v>
      </c>
      <c r="N362" s="539">
        <v>22</v>
      </c>
      <c r="O362" s="140">
        <f t="shared" si="26"/>
        <v>22.44</v>
      </c>
      <c r="P362" s="141">
        <f t="shared" si="27"/>
        <v>22.88</v>
      </c>
    </row>
    <row r="363" spans="1:16" ht="15">
      <c r="A363" s="142"/>
      <c r="B363" s="143"/>
      <c r="C363" s="522"/>
      <c r="D363" s="522"/>
      <c r="E363" s="522">
        <v>625</v>
      </c>
      <c r="F363" s="144" t="s">
        <v>11</v>
      </c>
      <c r="G363" s="145"/>
      <c r="H363" s="145" t="s">
        <v>16</v>
      </c>
      <c r="I363" s="145"/>
      <c r="J363" s="145"/>
      <c r="K363" s="145"/>
      <c r="L363" s="46">
        <v>221.32</v>
      </c>
      <c r="M363" s="46">
        <v>221.32</v>
      </c>
      <c r="N363" s="519">
        <v>221</v>
      </c>
      <c r="O363" s="140">
        <f t="shared" si="26"/>
        <v>225.42</v>
      </c>
      <c r="P363" s="141">
        <f t="shared" si="27"/>
        <v>229.84</v>
      </c>
    </row>
    <row r="364" spans="1:18" ht="15">
      <c r="A364" s="225"/>
      <c r="B364" s="226"/>
      <c r="C364" s="227"/>
      <c r="D364" s="227"/>
      <c r="E364" s="227">
        <v>625</v>
      </c>
      <c r="F364" s="228" t="s">
        <v>12</v>
      </c>
      <c r="G364" s="229"/>
      <c r="H364" s="229" t="s">
        <v>17</v>
      </c>
      <c r="I364" s="229"/>
      <c r="J364" s="229"/>
      <c r="K364" s="229"/>
      <c r="L364" s="86">
        <v>12.65</v>
      </c>
      <c r="M364" s="86">
        <v>12.65</v>
      </c>
      <c r="N364" s="519">
        <v>13</v>
      </c>
      <c r="O364" s="140">
        <f t="shared" si="26"/>
        <v>13.26</v>
      </c>
      <c r="P364" s="141">
        <f t="shared" si="27"/>
        <v>13.52</v>
      </c>
      <c r="R364" s="24" t="s">
        <v>698</v>
      </c>
    </row>
    <row r="365" spans="1:16" ht="15">
      <c r="A365" s="134"/>
      <c r="B365" s="135"/>
      <c r="C365" s="136"/>
      <c r="D365" s="136"/>
      <c r="E365" s="136">
        <v>625</v>
      </c>
      <c r="F365" s="137" t="s">
        <v>13</v>
      </c>
      <c r="G365" s="138"/>
      <c r="H365" s="138" t="s">
        <v>18</v>
      </c>
      <c r="I365" s="138"/>
      <c r="J365" s="138"/>
      <c r="K365" s="138"/>
      <c r="L365" s="56">
        <v>47.43</v>
      </c>
      <c r="M365" s="56">
        <v>47.43</v>
      </c>
      <c r="N365" s="539">
        <v>47</v>
      </c>
      <c r="O365" s="140">
        <f t="shared" si="26"/>
        <v>47.94</v>
      </c>
      <c r="P365" s="141">
        <f t="shared" si="27"/>
        <v>48.88</v>
      </c>
    </row>
    <row r="366" spans="1:16" ht="15">
      <c r="A366" s="142"/>
      <c r="B366" s="143"/>
      <c r="C366" s="522"/>
      <c r="D366" s="522"/>
      <c r="E366" s="522">
        <v>625</v>
      </c>
      <c r="F366" s="144" t="s">
        <v>19</v>
      </c>
      <c r="G366" s="145"/>
      <c r="H366" s="145" t="s">
        <v>20</v>
      </c>
      <c r="I366" s="145"/>
      <c r="J366" s="145"/>
      <c r="K366" s="145"/>
      <c r="L366" s="46">
        <v>15.81</v>
      </c>
      <c r="M366" s="46">
        <v>15.81</v>
      </c>
      <c r="N366" s="519">
        <v>16</v>
      </c>
      <c r="O366" s="140">
        <f t="shared" si="26"/>
        <v>16.32</v>
      </c>
      <c r="P366" s="141">
        <f t="shared" si="27"/>
        <v>16.64</v>
      </c>
    </row>
    <row r="367" spans="1:16" ht="15">
      <c r="A367" s="142"/>
      <c r="B367" s="143"/>
      <c r="C367" s="522"/>
      <c r="D367" s="522"/>
      <c r="E367" s="522">
        <v>625</v>
      </c>
      <c r="F367" s="144" t="s">
        <v>21</v>
      </c>
      <c r="G367" s="145"/>
      <c r="H367" s="145" t="s">
        <v>22</v>
      </c>
      <c r="I367" s="145"/>
      <c r="J367" s="145"/>
      <c r="K367" s="145"/>
      <c r="L367" s="46">
        <v>75.09</v>
      </c>
      <c r="M367" s="46">
        <v>75.09</v>
      </c>
      <c r="N367" s="519">
        <v>75</v>
      </c>
      <c r="O367" s="140">
        <f t="shared" si="26"/>
        <v>76.5</v>
      </c>
      <c r="P367" s="141">
        <f t="shared" si="27"/>
        <v>78</v>
      </c>
    </row>
    <row r="368" spans="1:16" ht="15">
      <c r="A368" s="525">
        <v>12</v>
      </c>
      <c r="B368" s="526">
        <v>2</v>
      </c>
      <c r="C368" s="527"/>
      <c r="D368" s="527"/>
      <c r="E368" s="527"/>
      <c r="F368" s="528"/>
      <c r="G368" s="435"/>
      <c r="H368" s="435" t="s">
        <v>168</v>
      </c>
      <c r="I368" s="435"/>
      <c r="J368" s="435"/>
      <c r="K368" s="435"/>
      <c r="L368" s="445">
        <f>SUM(L360:L367)</f>
        <v>2133.4200000000005</v>
      </c>
      <c r="M368" s="445">
        <f>SUM(M360:M367)</f>
        <v>2133.4200000000005</v>
      </c>
      <c r="N368" s="695">
        <f>SUM(N360:N367)</f>
        <v>2133</v>
      </c>
      <c r="O368" s="230">
        <f t="shared" si="26"/>
        <v>2175.66</v>
      </c>
      <c r="P368" s="231">
        <f t="shared" si="27"/>
        <v>2218.32</v>
      </c>
    </row>
    <row r="369" spans="1:17" ht="15">
      <c r="A369" s="217">
        <v>12</v>
      </c>
      <c r="B369" s="218">
        <v>2</v>
      </c>
      <c r="C369" s="219" t="s">
        <v>25</v>
      </c>
      <c r="D369" s="219"/>
      <c r="E369" s="219"/>
      <c r="F369" s="220"/>
      <c r="G369" s="221" t="s">
        <v>167</v>
      </c>
      <c r="H369" s="221"/>
      <c r="I369" s="138"/>
      <c r="J369" s="138"/>
      <c r="K369" s="138"/>
      <c r="L369" s="56"/>
      <c r="M369" s="56"/>
      <c r="N369" s="539"/>
      <c r="O369" s="140">
        <f t="shared" si="26"/>
        <v>0</v>
      </c>
      <c r="P369" s="141">
        <f t="shared" si="27"/>
        <v>0</v>
      </c>
      <c r="Q369" s="76"/>
    </row>
    <row r="370" spans="1:16" ht="15">
      <c r="A370" s="142">
        <v>12</v>
      </c>
      <c r="B370" s="143">
        <v>2</v>
      </c>
      <c r="C370" s="522">
        <v>1</v>
      </c>
      <c r="D370" s="522">
        <v>41</v>
      </c>
      <c r="E370" s="522">
        <v>611</v>
      </c>
      <c r="F370" s="144"/>
      <c r="G370" s="145"/>
      <c r="H370" s="145" t="s">
        <v>8</v>
      </c>
      <c r="I370" s="145"/>
      <c r="J370" s="145"/>
      <c r="K370" s="145"/>
      <c r="L370" s="46">
        <v>11048</v>
      </c>
      <c r="M370" s="46">
        <v>11046.8</v>
      </c>
      <c r="N370" s="519">
        <v>12000</v>
      </c>
      <c r="O370" s="140">
        <f t="shared" si="26"/>
        <v>12240</v>
      </c>
      <c r="P370" s="141">
        <f t="shared" si="27"/>
        <v>12480</v>
      </c>
    </row>
    <row r="371" spans="1:16" ht="15">
      <c r="A371" s="134"/>
      <c r="B371" s="135"/>
      <c r="C371" s="136"/>
      <c r="D371" s="136"/>
      <c r="E371" s="136">
        <v>614</v>
      </c>
      <c r="F371" s="137"/>
      <c r="G371" s="138"/>
      <c r="H371" s="138" t="s">
        <v>9</v>
      </c>
      <c r="I371" s="138"/>
      <c r="J371" s="138"/>
      <c r="K371" s="138"/>
      <c r="L371" s="56">
        <v>1265</v>
      </c>
      <c r="M371" s="56">
        <v>1264.82</v>
      </c>
      <c r="N371" s="539">
        <v>0</v>
      </c>
      <c r="O371" s="140">
        <f t="shared" si="26"/>
        <v>0</v>
      </c>
      <c r="P371" s="141">
        <f t="shared" si="27"/>
        <v>0</v>
      </c>
    </row>
    <row r="372" spans="1:16" ht="15">
      <c r="A372" s="142"/>
      <c r="B372" s="143"/>
      <c r="C372" s="522"/>
      <c r="D372" s="522"/>
      <c r="E372" s="522">
        <v>621</v>
      </c>
      <c r="F372" s="144"/>
      <c r="G372" s="145"/>
      <c r="H372" s="145" t="s">
        <v>14</v>
      </c>
      <c r="I372" s="145"/>
      <c r="J372" s="145"/>
      <c r="K372" s="145"/>
      <c r="L372" s="46">
        <v>1260</v>
      </c>
      <c r="M372" s="46">
        <v>1260.02</v>
      </c>
      <c r="N372" s="519">
        <f>(N370+N371)*10%</f>
        <v>1200</v>
      </c>
      <c r="O372" s="140">
        <f t="shared" si="26"/>
        <v>1224</v>
      </c>
      <c r="P372" s="141">
        <f t="shared" si="27"/>
        <v>1248</v>
      </c>
    </row>
    <row r="373" spans="1:16" ht="15">
      <c r="A373" s="134"/>
      <c r="B373" s="135"/>
      <c r="C373" s="136"/>
      <c r="D373" s="136"/>
      <c r="E373" s="136">
        <v>625</v>
      </c>
      <c r="F373" s="137" t="s">
        <v>10</v>
      </c>
      <c r="G373" s="138"/>
      <c r="H373" s="138" t="s">
        <v>15</v>
      </c>
      <c r="I373" s="138"/>
      <c r="J373" s="138"/>
      <c r="K373" s="138"/>
      <c r="L373" s="56">
        <v>169</v>
      </c>
      <c r="M373" s="56">
        <v>155.81</v>
      </c>
      <c r="N373" s="539">
        <v>170</v>
      </c>
      <c r="O373" s="140">
        <f t="shared" si="26"/>
        <v>173.4</v>
      </c>
      <c r="P373" s="141">
        <f t="shared" si="27"/>
        <v>176.8</v>
      </c>
    </row>
    <row r="374" spans="1:16" ht="15">
      <c r="A374" s="142"/>
      <c r="B374" s="143"/>
      <c r="C374" s="522"/>
      <c r="D374" s="522"/>
      <c r="E374" s="522">
        <v>625</v>
      </c>
      <c r="F374" s="144" t="s">
        <v>11</v>
      </c>
      <c r="G374" s="145"/>
      <c r="H374" s="145" t="s">
        <v>16</v>
      </c>
      <c r="I374" s="145"/>
      <c r="J374" s="145"/>
      <c r="K374" s="145"/>
      <c r="L374" s="46">
        <v>1706</v>
      </c>
      <c r="M374" s="46">
        <v>1706.2</v>
      </c>
      <c r="N374" s="519">
        <f>(N370+N371)*14%</f>
        <v>1680.0000000000002</v>
      </c>
      <c r="O374" s="140">
        <f t="shared" si="26"/>
        <v>1713.6000000000001</v>
      </c>
      <c r="P374" s="141">
        <f t="shared" si="27"/>
        <v>1747.2000000000003</v>
      </c>
    </row>
    <row r="375" spans="1:16" ht="15">
      <c r="A375" s="134"/>
      <c r="B375" s="135"/>
      <c r="C375" s="136"/>
      <c r="D375" s="136"/>
      <c r="E375" s="136">
        <v>625</v>
      </c>
      <c r="F375" s="137" t="s">
        <v>12</v>
      </c>
      <c r="G375" s="138"/>
      <c r="H375" s="138" t="s">
        <v>17</v>
      </c>
      <c r="I375" s="138"/>
      <c r="J375" s="138"/>
      <c r="K375" s="138"/>
      <c r="L375" s="56">
        <v>97</v>
      </c>
      <c r="M375" s="56">
        <v>97.47</v>
      </c>
      <c r="N375" s="681">
        <v>97</v>
      </c>
      <c r="O375" s="140">
        <f t="shared" si="26"/>
        <v>98.94</v>
      </c>
      <c r="P375" s="141">
        <f t="shared" si="27"/>
        <v>100.88</v>
      </c>
    </row>
    <row r="376" spans="1:16" ht="15">
      <c r="A376" s="142"/>
      <c r="B376" s="143"/>
      <c r="C376" s="522"/>
      <c r="D376" s="522"/>
      <c r="E376" s="522">
        <v>625</v>
      </c>
      <c r="F376" s="144" t="s">
        <v>13</v>
      </c>
      <c r="G376" s="145"/>
      <c r="H376" s="145" t="s">
        <v>18</v>
      </c>
      <c r="I376" s="145"/>
      <c r="J376" s="145"/>
      <c r="K376" s="145"/>
      <c r="L376" s="46">
        <v>366</v>
      </c>
      <c r="M376" s="46">
        <v>365.55</v>
      </c>
      <c r="N376" s="682">
        <f>(N370+N371)*3%</f>
        <v>360</v>
      </c>
      <c r="O376" s="147">
        <f t="shared" si="26"/>
        <v>367.2</v>
      </c>
      <c r="P376" s="224">
        <f t="shared" si="27"/>
        <v>374.4</v>
      </c>
    </row>
    <row r="377" spans="1:16" ht="15">
      <c r="A377" s="134"/>
      <c r="B377" s="135"/>
      <c r="C377" s="136"/>
      <c r="D377" s="136"/>
      <c r="E377" s="136">
        <v>625</v>
      </c>
      <c r="F377" s="137" t="s">
        <v>19</v>
      </c>
      <c r="G377" s="138"/>
      <c r="H377" s="138" t="s">
        <v>20</v>
      </c>
      <c r="I377" s="138"/>
      <c r="J377" s="138"/>
      <c r="K377" s="138"/>
      <c r="L377" s="56">
        <v>122</v>
      </c>
      <c r="M377" s="56">
        <v>121.81</v>
      </c>
      <c r="N377" s="539">
        <f>(N370+N371)*1%</f>
        <v>120</v>
      </c>
      <c r="O377" s="140">
        <f t="shared" si="26"/>
        <v>122.4</v>
      </c>
      <c r="P377" s="141">
        <f t="shared" si="27"/>
        <v>124.8</v>
      </c>
    </row>
    <row r="378" spans="1:16" ht="15">
      <c r="A378" s="142"/>
      <c r="B378" s="143"/>
      <c r="C378" s="522"/>
      <c r="D378" s="522"/>
      <c r="E378" s="522">
        <v>625</v>
      </c>
      <c r="F378" s="144" t="s">
        <v>21</v>
      </c>
      <c r="G378" s="145"/>
      <c r="H378" s="145" t="s">
        <v>22</v>
      </c>
      <c r="I378" s="145"/>
      <c r="J378" s="145"/>
      <c r="K378" s="145"/>
      <c r="L378" s="46">
        <v>579</v>
      </c>
      <c r="M378" s="46">
        <v>578.79</v>
      </c>
      <c r="N378" s="519">
        <v>575</v>
      </c>
      <c r="O378" s="140">
        <f t="shared" si="26"/>
        <v>586.5</v>
      </c>
      <c r="P378" s="141">
        <f t="shared" si="27"/>
        <v>598</v>
      </c>
    </row>
    <row r="379" spans="1:16" ht="15">
      <c r="A379" s="134"/>
      <c r="B379" s="135"/>
      <c r="C379" s="136"/>
      <c r="D379" s="136"/>
      <c r="E379" s="136">
        <v>627</v>
      </c>
      <c r="F379" s="137"/>
      <c r="G379" s="138"/>
      <c r="H379" s="138" t="s">
        <v>23</v>
      </c>
      <c r="I379" s="138"/>
      <c r="J379" s="138"/>
      <c r="K379" s="138"/>
      <c r="L379" s="56">
        <v>433</v>
      </c>
      <c r="M379" s="56">
        <v>433.1</v>
      </c>
      <c r="N379" s="539">
        <v>405</v>
      </c>
      <c r="O379" s="140">
        <f t="shared" si="26"/>
        <v>413.1</v>
      </c>
      <c r="P379" s="141">
        <f t="shared" si="27"/>
        <v>421.2</v>
      </c>
    </row>
    <row r="380" spans="1:16" ht="15">
      <c r="A380" s="142"/>
      <c r="B380" s="143"/>
      <c r="C380" s="522"/>
      <c r="D380" s="522"/>
      <c r="E380" s="522">
        <v>631</v>
      </c>
      <c r="F380" s="144" t="s">
        <v>10</v>
      </c>
      <c r="G380" s="145"/>
      <c r="H380" s="145" t="s">
        <v>27</v>
      </c>
      <c r="I380" s="145"/>
      <c r="J380" s="145"/>
      <c r="K380" s="145"/>
      <c r="L380" s="46">
        <v>600</v>
      </c>
      <c r="M380" s="46">
        <v>559.74</v>
      </c>
      <c r="N380" s="519">
        <v>600</v>
      </c>
      <c r="O380" s="140">
        <f t="shared" si="26"/>
        <v>612</v>
      </c>
      <c r="P380" s="141">
        <f t="shared" si="27"/>
        <v>624</v>
      </c>
    </row>
    <row r="381" spans="1:16" ht="15">
      <c r="A381" s="134"/>
      <c r="B381" s="135"/>
      <c r="C381" s="136"/>
      <c r="D381" s="136"/>
      <c r="E381" s="136">
        <v>632</v>
      </c>
      <c r="F381" s="137" t="s">
        <v>12</v>
      </c>
      <c r="G381" s="138"/>
      <c r="H381" s="138" t="s">
        <v>169</v>
      </c>
      <c r="I381" s="138"/>
      <c r="J381" s="138"/>
      <c r="K381" s="138"/>
      <c r="L381" s="56">
        <v>3150</v>
      </c>
      <c r="M381" s="56">
        <v>2274.13</v>
      </c>
      <c r="N381" s="539">
        <v>2000</v>
      </c>
      <c r="O381" s="139">
        <f t="shared" si="26"/>
        <v>2040</v>
      </c>
      <c r="P381" s="148">
        <f t="shared" si="27"/>
        <v>2080</v>
      </c>
    </row>
    <row r="382" spans="1:16" ht="15">
      <c r="A382" s="142"/>
      <c r="B382" s="143"/>
      <c r="C382" s="522"/>
      <c r="D382" s="522"/>
      <c r="E382" s="522">
        <v>633</v>
      </c>
      <c r="F382" s="144" t="s">
        <v>29</v>
      </c>
      <c r="G382" s="145"/>
      <c r="H382" s="145" t="s">
        <v>30</v>
      </c>
      <c r="I382" s="145"/>
      <c r="J382" s="145"/>
      <c r="K382" s="145"/>
      <c r="L382" s="46">
        <v>1100</v>
      </c>
      <c r="M382" s="46">
        <v>403.44</v>
      </c>
      <c r="N382" s="519">
        <v>600</v>
      </c>
      <c r="O382" s="147">
        <f t="shared" si="26"/>
        <v>612</v>
      </c>
      <c r="P382" s="224">
        <f t="shared" si="27"/>
        <v>624</v>
      </c>
    </row>
    <row r="383" spans="1:16" ht="15">
      <c r="A383" s="134"/>
      <c r="B383" s="135"/>
      <c r="C383" s="136"/>
      <c r="D383" s="136"/>
      <c r="E383" s="136">
        <v>633</v>
      </c>
      <c r="F383" s="137" t="s">
        <v>143</v>
      </c>
      <c r="G383" s="138"/>
      <c r="H383" s="138" t="s">
        <v>170</v>
      </c>
      <c r="I383" s="138"/>
      <c r="J383" s="138"/>
      <c r="K383" s="138"/>
      <c r="L383" s="56">
        <v>30</v>
      </c>
      <c r="M383" s="56">
        <v>0</v>
      </c>
      <c r="N383" s="539">
        <v>30</v>
      </c>
      <c r="O383" s="140">
        <f t="shared" si="26"/>
        <v>30.6</v>
      </c>
      <c r="P383" s="141">
        <f t="shared" si="27"/>
        <v>31.2</v>
      </c>
    </row>
    <row r="384" spans="1:16" ht="15">
      <c r="A384" s="142"/>
      <c r="B384" s="143"/>
      <c r="C384" s="522"/>
      <c r="D384" s="522"/>
      <c r="E384" s="522">
        <v>633</v>
      </c>
      <c r="F384" s="144" t="s">
        <v>109</v>
      </c>
      <c r="G384" s="145"/>
      <c r="H384" s="145" t="s">
        <v>171</v>
      </c>
      <c r="I384" s="145"/>
      <c r="J384" s="145"/>
      <c r="K384" s="145"/>
      <c r="L384" s="46">
        <v>33</v>
      </c>
      <c r="M384" s="46">
        <v>33</v>
      </c>
      <c r="N384" s="519">
        <v>33</v>
      </c>
      <c r="O384" s="140">
        <f t="shared" si="26"/>
        <v>33.66</v>
      </c>
      <c r="P384" s="141">
        <f t="shared" si="27"/>
        <v>34.32</v>
      </c>
    </row>
    <row r="385" spans="1:17" ht="15">
      <c r="A385" s="134"/>
      <c r="B385" s="135"/>
      <c r="C385" s="136"/>
      <c r="D385" s="136"/>
      <c r="E385" s="136">
        <v>633</v>
      </c>
      <c r="F385" s="137" t="s">
        <v>172</v>
      </c>
      <c r="G385" s="138"/>
      <c r="H385" s="138" t="s">
        <v>173</v>
      </c>
      <c r="I385" s="138"/>
      <c r="J385" s="138"/>
      <c r="K385" s="138"/>
      <c r="L385" s="56">
        <v>50</v>
      </c>
      <c r="M385" s="56">
        <v>33</v>
      </c>
      <c r="N385" s="539">
        <v>50</v>
      </c>
      <c r="O385" s="147">
        <f t="shared" si="26"/>
        <v>51</v>
      </c>
      <c r="P385" s="224">
        <f t="shared" si="27"/>
        <v>52</v>
      </c>
      <c r="Q385" s="86"/>
    </row>
    <row r="386" spans="1:17" ht="15">
      <c r="A386" s="134"/>
      <c r="B386" s="135"/>
      <c r="C386" s="136"/>
      <c r="D386" s="136"/>
      <c r="E386" s="136">
        <v>635</v>
      </c>
      <c r="F386" s="137" t="s">
        <v>11</v>
      </c>
      <c r="G386" s="138"/>
      <c r="H386" s="138" t="s">
        <v>508</v>
      </c>
      <c r="I386" s="138"/>
      <c r="J386" s="138"/>
      <c r="K386" s="138"/>
      <c r="L386" s="56">
        <v>100</v>
      </c>
      <c r="M386" s="56">
        <v>58.8</v>
      </c>
      <c r="N386" s="539">
        <v>50</v>
      </c>
      <c r="O386" s="147">
        <f>N386+N386*$O$351</f>
        <v>51</v>
      </c>
      <c r="P386" s="224">
        <f>N386+N386*$P$351</f>
        <v>52</v>
      </c>
      <c r="Q386" s="56"/>
    </row>
    <row r="387" spans="1:16" ht="15">
      <c r="A387" s="142"/>
      <c r="B387" s="143"/>
      <c r="C387" s="522"/>
      <c r="D387" s="522"/>
      <c r="E387" s="522">
        <v>637</v>
      </c>
      <c r="F387" s="144" t="s">
        <v>10</v>
      </c>
      <c r="G387" s="145"/>
      <c r="H387" s="145" t="s">
        <v>33</v>
      </c>
      <c r="I387" s="145"/>
      <c r="J387" s="145"/>
      <c r="K387" s="145"/>
      <c r="L387" s="46">
        <v>365</v>
      </c>
      <c r="M387" s="46">
        <v>365</v>
      </c>
      <c r="N387" s="519">
        <v>360</v>
      </c>
      <c r="O387" s="140">
        <f t="shared" si="26"/>
        <v>367.2</v>
      </c>
      <c r="P387" s="141">
        <f t="shared" si="27"/>
        <v>374.4</v>
      </c>
    </row>
    <row r="388" spans="1:16" ht="15">
      <c r="A388" s="134"/>
      <c r="B388" s="135"/>
      <c r="C388" s="136"/>
      <c r="D388" s="136"/>
      <c r="E388" s="136">
        <v>637</v>
      </c>
      <c r="F388" s="137" t="s">
        <v>13</v>
      </c>
      <c r="G388" s="138"/>
      <c r="H388" s="138" t="s">
        <v>34</v>
      </c>
      <c r="I388" s="138"/>
      <c r="J388" s="138"/>
      <c r="K388" s="138"/>
      <c r="L388" s="56">
        <v>34</v>
      </c>
      <c r="M388" s="56">
        <v>0</v>
      </c>
      <c r="N388" s="539">
        <v>350</v>
      </c>
      <c r="O388" s="140">
        <f t="shared" si="26"/>
        <v>357</v>
      </c>
      <c r="P388" s="141">
        <f t="shared" si="27"/>
        <v>364</v>
      </c>
    </row>
    <row r="389" spans="1:16" ht="15">
      <c r="A389" s="149">
        <v>12</v>
      </c>
      <c r="B389" s="150">
        <v>2</v>
      </c>
      <c r="C389" s="151">
        <v>1</v>
      </c>
      <c r="D389" s="151">
        <v>41</v>
      </c>
      <c r="E389" s="151"/>
      <c r="F389" s="152"/>
      <c r="G389" s="153"/>
      <c r="H389" s="153" t="s">
        <v>174</v>
      </c>
      <c r="I389" s="153"/>
      <c r="J389" s="153"/>
      <c r="K389" s="153"/>
      <c r="L389" s="73">
        <f>SUM(L370:L388)</f>
        <v>22507</v>
      </c>
      <c r="M389" s="73">
        <f>SUM(M370:M388)</f>
        <v>20757.479999999996</v>
      </c>
      <c r="N389" s="520">
        <f>SUM(N370:N388)</f>
        <v>20680</v>
      </c>
      <c r="O389" s="250">
        <f t="shared" si="26"/>
        <v>21093.6</v>
      </c>
      <c r="P389" s="155">
        <f t="shared" si="27"/>
        <v>21507.2</v>
      </c>
    </row>
    <row r="390" spans="1:16" ht="15">
      <c r="A390" s="149">
        <v>12</v>
      </c>
      <c r="B390" s="150">
        <v>3</v>
      </c>
      <c r="C390" s="151" t="s">
        <v>25</v>
      </c>
      <c r="D390" s="151"/>
      <c r="E390" s="151"/>
      <c r="F390" s="152"/>
      <c r="G390" s="153" t="s">
        <v>175</v>
      </c>
      <c r="H390" s="153"/>
      <c r="I390" s="153"/>
      <c r="J390" s="145"/>
      <c r="K390" s="145"/>
      <c r="L390" s="46"/>
      <c r="M390" s="46"/>
      <c r="N390" s="519"/>
      <c r="O390" s="140">
        <f t="shared" si="26"/>
        <v>0</v>
      </c>
      <c r="P390" s="141">
        <f t="shared" si="27"/>
        <v>0</v>
      </c>
    </row>
    <row r="391" spans="1:16" ht="15">
      <c r="A391" s="225">
        <v>12</v>
      </c>
      <c r="B391" s="226">
        <v>3</v>
      </c>
      <c r="C391" s="227">
        <v>1</v>
      </c>
      <c r="D391" s="227">
        <v>111</v>
      </c>
      <c r="E391" s="227">
        <v>611</v>
      </c>
      <c r="F391" s="228"/>
      <c r="G391" s="229"/>
      <c r="H391" s="229" t="s">
        <v>8</v>
      </c>
      <c r="I391" s="229"/>
      <c r="J391" s="229"/>
      <c r="K391" s="229"/>
      <c r="L391" s="86">
        <v>166.77</v>
      </c>
      <c r="M391" s="86">
        <v>166.77</v>
      </c>
      <c r="N391" s="683">
        <v>160</v>
      </c>
      <c r="O391" s="147">
        <f t="shared" si="26"/>
        <v>163.2</v>
      </c>
      <c r="P391" s="224">
        <f t="shared" si="27"/>
        <v>166.4</v>
      </c>
    </row>
    <row r="392" spans="1:16" ht="15">
      <c r="A392" s="142"/>
      <c r="B392" s="143"/>
      <c r="C392" s="522"/>
      <c r="D392" s="522"/>
      <c r="E392" s="522">
        <v>621</v>
      </c>
      <c r="F392" s="144"/>
      <c r="G392" s="145"/>
      <c r="H392" s="145" t="s">
        <v>14</v>
      </c>
      <c r="I392" s="145"/>
      <c r="J392" s="145"/>
      <c r="K392" s="145"/>
      <c r="L392" s="46">
        <v>0</v>
      </c>
      <c r="M392" s="46">
        <v>0</v>
      </c>
      <c r="N392" s="519">
        <f>N391*10%</f>
        <v>16</v>
      </c>
      <c r="O392" s="140">
        <f t="shared" si="26"/>
        <v>16.32</v>
      </c>
      <c r="P392" s="141">
        <f t="shared" si="27"/>
        <v>16.64</v>
      </c>
    </row>
    <row r="393" spans="1:16" ht="15">
      <c r="A393" s="134"/>
      <c r="B393" s="135"/>
      <c r="C393" s="136"/>
      <c r="D393" s="136"/>
      <c r="E393" s="136">
        <v>625</v>
      </c>
      <c r="F393" s="137" t="s">
        <v>10</v>
      </c>
      <c r="G393" s="138"/>
      <c r="H393" s="138" t="s">
        <v>15</v>
      </c>
      <c r="I393" s="138"/>
      <c r="J393" s="138"/>
      <c r="K393" s="138"/>
      <c r="L393" s="56">
        <v>2.12</v>
      </c>
      <c r="M393" s="56">
        <v>2.12</v>
      </c>
      <c r="N393" s="539">
        <v>2</v>
      </c>
      <c r="O393" s="140">
        <f t="shared" si="26"/>
        <v>2.04</v>
      </c>
      <c r="P393" s="141">
        <f t="shared" si="27"/>
        <v>2.08</v>
      </c>
    </row>
    <row r="394" spans="1:16" ht="15">
      <c r="A394" s="142"/>
      <c r="B394" s="143"/>
      <c r="C394" s="522"/>
      <c r="D394" s="522"/>
      <c r="E394" s="522">
        <v>625</v>
      </c>
      <c r="F394" s="144" t="s">
        <v>11</v>
      </c>
      <c r="G394" s="145"/>
      <c r="H394" s="145" t="s">
        <v>16</v>
      </c>
      <c r="I394" s="145"/>
      <c r="J394" s="145"/>
      <c r="K394" s="145"/>
      <c r="L394" s="46">
        <v>21.23</v>
      </c>
      <c r="M394" s="46">
        <v>21.23</v>
      </c>
      <c r="N394" s="519">
        <v>23</v>
      </c>
      <c r="O394" s="140">
        <f t="shared" si="26"/>
        <v>23.46</v>
      </c>
      <c r="P394" s="141">
        <f t="shared" si="27"/>
        <v>23.92</v>
      </c>
    </row>
    <row r="395" spans="1:16" ht="15">
      <c r="A395" s="134"/>
      <c r="B395" s="135"/>
      <c r="C395" s="136"/>
      <c r="D395" s="136"/>
      <c r="E395" s="136">
        <v>625</v>
      </c>
      <c r="F395" s="137" t="s">
        <v>12</v>
      </c>
      <c r="G395" s="138"/>
      <c r="H395" s="138" t="s">
        <v>17</v>
      </c>
      <c r="I395" s="138"/>
      <c r="J395" s="138"/>
      <c r="K395" s="138"/>
      <c r="L395" s="56">
        <v>1.21</v>
      </c>
      <c r="M395" s="56">
        <v>1.21</v>
      </c>
      <c r="N395" s="539">
        <v>2</v>
      </c>
      <c r="O395" s="140">
        <f t="shared" si="26"/>
        <v>2.04</v>
      </c>
      <c r="P395" s="141">
        <f t="shared" si="27"/>
        <v>2.08</v>
      </c>
    </row>
    <row r="396" spans="1:16" ht="15">
      <c r="A396" s="142"/>
      <c r="B396" s="143"/>
      <c r="C396" s="522"/>
      <c r="D396" s="522"/>
      <c r="E396" s="522">
        <v>625</v>
      </c>
      <c r="F396" s="144" t="s">
        <v>13</v>
      </c>
      <c r="G396" s="145"/>
      <c r="H396" s="145" t="s">
        <v>18</v>
      </c>
      <c r="I396" s="145"/>
      <c r="J396" s="145"/>
      <c r="K396" s="145"/>
      <c r="L396" s="46">
        <v>4.55</v>
      </c>
      <c r="M396" s="46">
        <v>4.55</v>
      </c>
      <c r="N396" s="519">
        <v>5</v>
      </c>
      <c r="O396" s="140">
        <f t="shared" si="26"/>
        <v>5.1</v>
      </c>
      <c r="P396" s="141">
        <f t="shared" si="27"/>
        <v>5.2</v>
      </c>
    </row>
    <row r="397" spans="1:18" ht="15">
      <c r="A397" s="134"/>
      <c r="B397" s="135"/>
      <c r="C397" s="136"/>
      <c r="D397" s="136"/>
      <c r="E397" s="136">
        <v>625</v>
      </c>
      <c r="F397" s="137" t="s">
        <v>19</v>
      </c>
      <c r="G397" s="138"/>
      <c r="H397" s="138" t="s">
        <v>20</v>
      </c>
      <c r="I397" s="138"/>
      <c r="J397" s="138"/>
      <c r="K397" s="138"/>
      <c r="L397" s="56">
        <v>1.52</v>
      </c>
      <c r="M397" s="56">
        <v>1.52</v>
      </c>
      <c r="N397" s="539">
        <v>2</v>
      </c>
      <c r="O397" s="140">
        <f t="shared" si="26"/>
        <v>2.04</v>
      </c>
      <c r="P397" s="141">
        <f t="shared" si="27"/>
        <v>2.08</v>
      </c>
      <c r="R397" s="24" t="s">
        <v>699</v>
      </c>
    </row>
    <row r="398" spans="1:16" ht="15">
      <c r="A398" s="142"/>
      <c r="B398" s="143"/>
      <c r="C398" s="522"/>
      <c r="D398" s="522"/>
      <c r="E398" s="522">
        <v>625</v>
      </c>
      <c r="F398" s="144" t="s">
        <v>21</v>
      </c>
      <c r="G398" s="145"/>
      <c r="H398" s="145" t="s">
        <v>22</v>
      </c>
      <c r="I398" s="145"/>
      <c r="J398" s="145"/>
      <c r="K398" s="145"/>
      <c r="L398" s="46">
        <v>7.2</v>
      </c>
      <c r="M398" s="46">
        <v>7.2</v>
      </c>
      <c r="N398" s="519">
        <v>8</v>
      </c>
      <c r="O398" s="140">
        <f t="shared" si="26"/>
        <v>8.16</v>
      </c>
      <c r="P398" s="141">
        <f t="shared" si="27"/>
        <v>8.32</v>
      </c>
    </row>
    <row r="399" spans="1:16" ht="15">
      <c r="A399" s="217">
        <v>12</v>
      </c>
      <c r="B399" s="218">
        <v>3</v>
      </c>
      <c r="C399" s="219"/>
      <c r="D399" s="219"/>
      <c r="E399" s="219"/>
      <c r="F399" s="220"/>
      <c r="G399" s="221"/>
      <c r="H399" s="221" t="s">
        <v>176</v>
      </c>
      <c r="I399" s="221"/>
      <c r="J399" s="221"/>
      <c r="K399" s="221"/>
      <c r="L399" s="91">
        <f>SUM(L391:L398)</f>
        <v>204.60000000000002</v>
      </c>
      <c r="M399" s="91">
        <f>SUM(M391:M398)</f>
        <v>204.60000000000002</v>
      </c>
      <c r="N399" s="686">
        <f>SUM(N391:N398)</f>
        <v>218</v>
      </c>
      <c r="O399" s="154">
        <f t="shared" si="26"/>
        <v>222.36</v>
      </c>
      <c r="P399" s="155">
        <f t="shared" si="27"/>
        <v>226.72</v>
      </c>
    </row>
    <row r="400" spans="1:16" ht="15">
      <c r="A400" s="149">
        <v>12</v>
      </c>
      <c r="B400" s="150">
        <v>4</v>
      </c>
      <c r="C400" s="151" t="s">
        <v>25</v>
      </c>
      <c r="D400" s="151"/>
      <c r="E400" s="151"/>
      <c r="F400" s="152"/>
      <c r="G400" s="153" t="s">
        <v>177</v>
      </c>
      <c r="H400" s="153"/>
      <c r="I400" s="153"/>
      <c r="J400" s="153"/>
      <c r="K400" s="153"/>
      <c r="L400" s="73"/>
      <c r="M400" s="73"/>
      <c r="N400" s="519"/>
      <c r="O400" s="140">
        <f t="shared" si="26"/>
        <v>0</v>
      </c>
      <c r="P400" s="141">
        <f t="shared" si="27"/>
        <v>0</v>
      </c>
    </row>
    <row r="401" spans="1:16" ht="15">
      <c r="A401" s="134">
        <v>12</v>
      </c>
      <c r="B401" s="135">
        <v>4</v>
      </c>
      <c r="C401" s="136">
        <v>1</v>
      </c>
      <c r="D401" s="136">
        <v>41</v>
      </c>
      <c r="E401" s="136">
        <v>625</v>
      </c>
      <c r="F401" s="137" t="s">
        <v>12</v>
      </c>
      <c r="G401" s="138"/>
      <c r="H401" s="138" t="s">
        <v>17</v>
      </c>
      <c r="I401" s="138"/>
      <c r="J401" s="138"/>
      <c r="K401" s="138"/>
      <c r="L401" s="56">
        <v>0</v>
      </c>
      <c r="M401" s="56">
        <v>0</v>
      </c>
      <c r="N401" s="539">
        <f>N404*0.8%</f>
        <v>0</v>
      </c>
      <c r="O401" s="140">
        <f t="shared" si="26"/>
        <v>0</v>
      </c>
      <c r="P401" s="141">
        <f t="shared" si="27"/>
        <v>0</v>
      </c>
    </row>
    <row r="402" spans="1:16" ht="15">
      <c r="A402" s="142"/>
      <c r="B402" s="143"/>
      <c r="C402" s="522"/>
      <c r="D402" s="522"/>
      <c r="E402" s="522">
        <v>632</v>
      </c>
      <c r="F402" s="144" t="s">
        <v>11</v>
      </c>
      <c r="G402" s="145"/>
      <c r="H402" s="145" t="s">
        <v>178</v>
      </c>
      <c r="I402" s="145"/>
      <c r="J402" s="145"/>
      <c r="K402" s="145"/>
      <c r="L402" s="46">
        <v>107</v>
      </c>
      <c r="M402" s="46">
        <v>106.83</v>
      </c>
      <c r="N402" s="519">
        <v>200</v>
      </c>
      <c r="O402" s="146">
        <f t="shared" si="26"/>
        <v>204</v>
      </c>
      <c r="P402" s="141">
        <f t="shared" si="27"/>
        <v>208</v>
      </c>
    </row>
    <row r="403" spans="1:16" ht="15">
      <c r="A403" s="251"/>
      <c r="B403" s="252"/>
      <c r="C403" s="522"/>
      <c r="D403" s="522"/>
      <c r="E403" s="522">
        <v>637</v>
      </c>
      <c r="F403" s="144" t="s">
        <v>13</v>
      </c>
      <c r="G403" s="145"/>
      <c r="H403" s="145" t="s">
        <v>591</v>
      </c>
      <c r="I403" s="145"/>
      <c r="J403" s="145"/>
      <c r="K403" s="145"/>
      <c r="L403" s="46">
        <v>2688</v>
      </c>
      <c r="M403" s="46">
        <v>2687.93</v>
      </c>
      <c r="N403" s="519">
        <v>225</v>
      </c>
      <c r="O403" s="140">
        <f t="shared" si="26"/>
        <v>229.5</v>
      </c>
      <c r="P403" s="141">
        <f t="shared" si="27"/>
        <v>234</v>
      </c>
    </row>
    <row r="404" spans="1:16" ht="15">
      <c r="A404" s="253"/>
      <c r="B404" s="226"/>
      <c r="C404" s="227"/>
      <c r="D404" s="227"/>
      <c r="E404" s="227">
        <v>637</v>
      </c>
      <c r="F404" s="228" t="s">
        <v>57</v>
      </c>
      <c r="G404" s="229"/>
      <c r="H404" s="229" t="s">
        <v>179</v>
      </c>
      <c r="I404" s="229"/>
      <c r="J404" s="229"/>
      <c r="K404" s="229"/>
      <c r="L404" s="86">
        <v>0</v>
      </c>
      <c r="M404" s="86">
        <v>0</v>
      </c>
      <c r="N404" s="683">
        <v>0</v>
      </c>
      <c r="O404" s="140">
        <f t="shared" si="26"/>
        <v>0</v>
      </c>
      <c r="P404" s="141">
        <f t="shared" si="27"/>
        <v>0</v>
      </c>
    </row>
    <row r="405" spans="1:16" ht="15">
      <c r="A405" s="149">
        <v>12</v>
      </c>
      <c r="B405" s="150">
        <v>4</v>
      </c>
      <c r="C405" s="151"/>
      <c r="D405" s="151"/>
      <c r="E405" s="151"/>
      <c r="F405" s="152"/>
      <c r="G405" s="153"/>
      <c r="H405" s="153" t="s">
        <v>180</v>
      </c>
      <c r="I405" s="153"/>
      <c r="J405" s="153"/>
      <c r="K405" s="153"/>
      <c r="L405" s="73">
        <f>SUM(L401:L404)</f>
        <v>2795</v>
      </c>
      <c r="M405" s="73">
        <f>SUM(M401:M404)</f>
        <v>2794.7599999999998</v>
      </c>
      <c r="N405" s="520">
        <f>SUM(N401:N404)</f>
        <v>425</v>
      </c>
      <c r="O405" s="154">
        <f t="shared" si="26"/>
        <v>433.5</v>
      </c>
      <c r="P405" s="155">
        <f t="shared" si="27"/>
        <v>442</v>
      </c>
    </row>
    <row r="406" spans="1:16" ht="15">
      <c r="A406" s="149">
        <v>12</v>
      </c>
      <c r="B406" s="150">
        <v>5</v>
      </c>
      <c r="C406" s="151" t="s">
        <v>25</v>
      </c>
      <c r="D406" s="151"/>
      <c r="E406" s="151"/>
      <c r="F406" s="152"/>
      <c r="G406" s="153" t="s">
        <v>181</v>
      </c>
      <c r="H406" s="153"/>
      <c r="I406" s="145"/>
      <c r="J406" s="145"/>
      <c r="K406" s="145"/>
      <c r="L406" s="46"/>
      <c r="M406" s="46"/>
      <c r="N406" s="519"/>
      <c r="O406" s="140">
        <f t="shared" si="26"/>
        <v>0</v>
      </c>
      <c r="P406" s="141">
        <f t="shared" si="27"/>
        <v>0</v>
      </c>
    </row>
    <row r="407" spans="1:16" ht="15">
      <c r="A407" s="225"/>
      <c r="B407" s="226"/>
      <c r="C407" s="227"/>
      <c r="D407" s="227"/>
      <c r="E407" s="227">
        <v>625</v>
      </c>
      <c r="F407" s="228" t="s">
        <v>12</v>
      </c>
      <c r="G407" s="229"/>
      <c r="H407" s="229" t="s">
        <v>182</v>
      </c>
      <c r="I407" s="229"/>
      <c r="J407" s="229"/>
      <c r="K407" s="229"/>
      <c r="L407" s="86">
        <v>20</v>
      </c>
      <c r="M407" s="86">
        <v>21.41</v>
      </c>
      <c r="N407" s="683">
        <f>N418*0.8%</f>
        <v>20</v>
      </c>
      <c r="O407" s="254">
        <f t="shared" si="26"/>
        <v>20.4</v>
      </c>
      <c r="P407" s="224">
        <f t="shared" si="27"/>
        <v>20.8</v>
      </c>
    </row>
    <row r="408" spans="1:16" ht="15">
      <c r="A408" s="134"/>
      <c r="B408" s="135"/>
      <c r="C408" s="136"/>
      <c r="D408" s="136"/>
      <c r="E408" s="136">
        <v>633</v>
      </c>
      <c r="F408" s="137" t="s">
        <v>13</v>
      </c>
      <c r="G408" s="138"/>
      <c r="H408" s="138" t="s">
        <v>183</v>
      </c>
      <c r="I408" s="138"/>
      <c r="J408" s="138"/>
      <c r="K408" s="138"/>
      <c r="L408" s="56">
        <v>0</v>
      </c>
      <c r="M408" s="56">
        <v>0</v>
      </c>
      <c r="N408" s="539">
        <v>1000</v>
      </c>
      <c r="O408" s="254">
        <f t="shared" si="26"/>
        <v>1020</v>
      </c>
      <c r="P408" s="224">
        <f t="shared" si="27"/>
        <v>1040</v>
      </c>
    </row>
    <row r="409" spans="1:16" ht="15">
      <c r="A409" s="142"/>
      <c r="B409" s="143"/>
      <c r="C409" s="522"/>
      <c r="D409" s="522"/>
      <c r="E409" s="522">
        <v>633</v>
      </c>
      <c r="F409" s="144" t="s">
        <v>29</v>
      </c>
      <c r="G409" s="145"/>
      <c r="H409" s="145" t="s">
        <v>184</v>
      </c>
      <c r="I409" s="145"/>
      <c r="J409" s="145"/>
      <c r="K409" s="145"/>
      <c r="L409" s="46">
        <v>1100</v>
      </c>
      <c r="M409" s="46">
        <v>1284.01</v>
      </c>
      <c r="N409" s="519">
        <v>1100</v>
      </c>
      <c r="O409" s="140">
        <f t="shared" si="26"/>
        <v>1122</v>
      </c>
      <c r="P409" s="141">
        <f t="shared" si="27"/>
        <v>1144</v>
      </c>
    </row>
    <row r="410" spans="1:16" ht="15">
      <c r="A410" s="70"/>
      <c r="B410" s="71"/>
      <c r="C410" s="109"/>
      <c r="D410" s="109"/>
      <c r="E410" s="55">
        <v>633</v>
      </c>
      <c r="F410" s="8" t="s">
        <v>29</v>
      </c>
      <c r="G410" s="9"/>
      <c r="H410" s="9" t="s">
        <v>476</v>
      </c>
      <c r="I410" s="9"/>
      <c r="J410" s="9"/>
      <c r="K410" s="9"/>
      <c r="L410" s="46">
        <v>11000</v>
      </c>
      <c r="M410" s="46">
        <v>1300.55</v>
      </c>
      <c r="N410" s="519">
        <v>5000</v>
      </c>
      <c r="O410" s="11">
        <f>N410+N410*$O$351</f>
        <v>5100</v>
      </c>
      <c r="P410" s="18">
        <f>N410+N410*$P$351</f>
        <v>5200</v>
      </c>
    </row>
    <row r="411" spans="1:16" ht="15">
      <c r="A411" s="134"/>
      <c r="B411" s="135"/>
      <c r="C411" s="136"/>
      <c r="D411" s="136"/>
      <c r="E411" s="136">
        <v>633</v>
      </c>
      <c r="F411" s="137" t="s">
        <v>109</v>
      </c>
      <c r="G411" s="138"/>
      <c r="H411" s="138" t="s">
        <v>185</v>
      </c>
      <c r="I411" s="138"/>
      <c r="J411" s="138"/>
      <c r="K411" s="138"/>
      <c r="L411" s="56">
        <v>100</v>
      </c>
      <c r="M411" s="56">
        <v>49.36</v>
      </c>
      <c r="N411" s="539">
        <v>50</v>
      </c>
      <c r="O411" s="140">
        <f t="shared" si="26"/>
        <v>51</v>
      </c>
      <c r="P411" s="141">
        <f t="shared" si="27"/>
        <v>52</v>
      </c>
    </row>
    <row r="412" spans="1:16" ht="15">
      <c r="A412" s="142"/>
      <c r="B412" s="143"/>
      <c r="C412" s="522"/>
      <c r="D412" s="522"/>
      <c r="E412" s="522">
        <v>633</v>
      </c>
      <c r="F412" s="144" t="s">
        <v>76</v>
      </c>
      <c r="G412" s="145"/>
      <c r="H412" s="145" t="s">
        <v>330</v>
      </c>
      <c r="I412" s="145"/>
      <c r="J412" s="145"/>
      <c r="K412" s="145"/>
      <c r="L412" s="46">
        <v>1300</v>
      </c>
      <c r="M412" s="46">
        <v>1082.74</v>
      </c>
      <c r="N412" s="519">
        <v>1300</v>
      </c>
      <c r="O412" s="140">
        <f t="shared" si="26"/>
        <v>1326</v>
      </c>
      <c r="P412" s="141">
        <f t="shared" si="27"/>
        <v>1352</v>
      </c>
    </row>
    <row r="413" spans="1:17" ht="15">
      <c r="A413" s="142"/>
      <c r="B413" s="143"/>
      <c r="C413" s="522"/>
      <c r="D413" s="522"/>
      <c r="E413" s="522">
        <v>634</v>
      </c>
      <c r="F413" s="144" t="s">
        <v>10</v>
      </c>
      <c r="G413" s="145"/>
      <c r="H413" s="145" t="s">
        <v>464</v>
      </c>
      <c r="I413" s="145"/>
      <c r="J413" s="145"/>
      <c r="K413" s="145"/>
      <c r="L413" s="46">
        <v>1431</v>
      </c>
      <c r="M413" s="46">
        <v>1563.51</v>
      </c>
      <c r="N413" s="519">
        <v>1300</v>
      </c>
      <c r="O413" s="147">
        <f t="shared" si="26"/>
        <v>1326</v>
      </c>
      <c r="P413" s="224">
        <f t="shared" si="27"/>
        <v>1352</v>
      </c>
      <c r="Q413" s="86"/>
    </row>
    <row r="414" spans="1:17" ht="15">
      <c r="A414" s="225"/>
      <c r="B414" s="226"/>
      <c r="C414" s="227"/>
      <c r="D414" s="227"/>
      <c r="E414" s="227">
        <v>634</v>
      </c>
      <c r="F414" s="228" t="s">
        <v>13</v>
      </c>
      <c r="G414" s="229"/>
      <c r="H414" s="229" t="s">
        <v>592</v>
      </c>
      <c r="I414" s="229"/>
      <c r="J414" s="229"/>
      <c r="K414" s="229"/>
      <c r="L414" s="86">
        <v>150</v>
      </c>
      <c r="M414" s="86">
        <v>222</v>
      </c>
      <c r="N414" s="683">
        <v>350</v>
      </c>
      <c r="O414" s="140">
        <f t="shared" si="26"/>
        <v>357</v>
      </c>
      <c r="P414" s="141">
        <f t="shared" si="27"/>
        <v>364</v>
      </c>
      <c r="Q414" s="76"/>
    </row>
    <row r="415" spans="1:17" ht="15">
      <c r="A415" s="225"/>
      <c r="B415" s="226"/>
      <c r="C415" s="227"/>
      <c r="D415" s="227"/>
      <c r="E415" s="118">
        <v>635</v>
      </c>
      <c r="F415" s="159" t="s">
        <v>13</v>
      </c>
      <c r="G415" s="117"/>
      <c r="H415" s="117" t="s">
        <v>186</v>
      </c>
      <c r="I415" s="117"/>
      <c r="J415" s="117"/>
      <c r="K415" s="117"/>
      <c r="L415" s="86">
        <v>800</v>
      </c>
      <c r="M415" s="86">
        <v>507.5</v>
      </c>
      <c r="N415" s="683">
        <v>550</v>
      </c>
      <c r="O415" s="11">
        <f t="shared" si="26"/>
        <v>561</v>
      </c>
      <c r="P415" s="18">
        <f t="shared" si="27"/>
        <v>572</v>
      </c>
      <c r="Q415" s="76"/>
    </row>
    <row r="416" spans="1:17" ht="15">
      <c r="A416" s="225"/>
      <c r="B416" s="226"/>
      <c r="C416" s="227"/>
      <c r="D416" s="227"/>
      <c r="E416" s="118">
        <v>637</v>
      </c>
      <c r="F416" s="159" t="s">
        <v>13</v>
      </c>
      <c r="G416" s="117"/>
      <c r="H416" s="117" t="s">
        <v>608</v>
      </c>
      <c r="I416" s="117"/>
      <c r="J416" s="117"/>
      <c r="K416" s="117"/>
      <c r="L416" s="86">
        <v>4000</v>
      </c>
      <c r="M416" s="86">
        <v>8885.62</v>
      </c>
      <c r="N416" s="683">
        <v>0</v>
      </c>
      <c r="O416" s="11">
        <f>N416+N416*$O$351</f>
        <v>0</v>
      </c>
      <c r="P416" s="18">
        <f>N416+N416*$P$351</f>
        <v>0</v>
      </c>
      <c r="Q416" s="76"/>
    </row>
    <row r="417" spans="1:17" ht="15">
      <c r="A417" s="225"/>
      <c r="B417" s="226"/>
      <c r="C417" s="227"/>
      <c r="D417" s="227"/>
      <c r="E417" s="118">
        <v>637</v>
      </c>
      <c r="F417" s="159" t="s">
        <v>13</v>
      </c>
      <c r="G417" s="117"/>
      <c r="H417" s="117" t="s">
        <v>509</v>
      </c>
      <c r="I417" s="117"/>
      <c r="J417" s="117"/>
      <c r="K417" s="117"/>
      <c r="L417" s="86">
        <v>169</v>
      </c>
      <c r="M417" s="86">
        <v>169</v>
      </c>
      <c r="N417" s="683">
        <v>170</v>
      </c>
      <c r="O417" s="11">
        <f>N417+N417*$O$351</f>
        <v>173.4</v>
      </c>
      <c r="P417" s="18">
        <f>N417+N417*$P$351</f>
        <v>176.8</v>
      </c>
      <c r="Q417" s="76"/>
    </row>
    <row r="418" spans="1:16" ht="15">
      <c r="A418" s="217"/>
      <c r="B418" s="218"/>
      <c r="C418" s="219"/>
      <c r="D418" s="219"/>
      <c r="E418" s="136">
        <v>637</v>
      </c>
      <c r="F418" s="137" t="s">
        <v>57</v>
      </c>
      <c r="G418" s="138"/>
      <c r="H418" s="138" t="s">
        <v>187</v>
      </c>
      <c r="I418" s="138"/>
      <c r="J418" s="138"/>
      <c r="K418" s="138"/>
      <c r="L418" s="56">
        <v>2500</v>
      </c>
      <c r="M418" s="56">
        <v>2953.71</v>
      </c>
      <c r="N418" s="539">
        <v>2500</v>
      </c>
      <c r="O418" s="140">
        <f t="shared" si="26"/>
        <v>2550</v>
      </c>
      <c r="P418" s="141">
        <f t="shared" si="27"/>
        <v>2600</v>
      </c>
    </row>
    <row r="419" spans="1:16" ht="15">
      <c r="A419" s="149">
        <v>12</v>
      </c>
      <c r="B419" s="150">
        <v>5</v>
      </c>
      <c r="C419" s="151"/>
      <c r="D419" s="151"/>
      <c r="E419" s="151"/>
      <c r="F419" s="152"/>
      <c r="G419" s="153"/>
      <c r="H419" s="153" t="s">
        <v>188</v>
      </c>
      <c r="I419" s="153"/>
      <c r="J419" s="153"/>
      <c r="K419" s="153"/>
      <c r="L419" s="73">
        <f>SUM(L407:L418)</f>
        <v>22570</v>
      </c>
      <c r="M419" s="73">
        <f>SUM(M407:M418)</f>
        <v>18039.41</v>
      </c>
      <c r="N419" s="520">
        <f>SUM(N407:N418)</f>
        <v>13340</v>
      </c>
      <c r="O419" s="250">
        <f t="shared" si="26"/>
        <v>13606.8</v>
      </c>
      <c r="P419" s="155">
        <f t="shared" si="27"/>
        <v>13873.6</v>
      </c>
    </row>
    <row r="420" spans="1:16" ht="15">
      <c r="A420" s="142">
        <v>12</v>
      </c>
      <c r="B420" s="143">
        <v>6</v>
      </c>
      <c r="C420" s="522">
        <v>1</v>
      </c>
      <c r="D420" s="522">
        <v>111</v>
      </c>
      <c r="E420" s="522"/>
      <c r="F420" s="144"/>
      <c r="G420" s="145"/>
      <c r="H420" s="145" t="s">
        <v>593</v>
      </c>
      <c r="I420" s="145"/>
      <c r="J420" s="145"/>
      <c r="K420" s="145"/>
      <c r="L420" s="46">
        <v>19.87</v>
      </c>
      <c r="M420" s="46">
        <v>19.87</v>
      </c>
      <c r="N420" s="519">
        <v>0</v>
      </c>
      <c r="O420" s="140">
        <f>N420+N420*$O$351</f>
        <v>0</v>
      </c>
      <c r="P420" s="141">
        <f>N420+N420*$P$351</f>
        <v>0</v>
      </c>
    </row>
    <row r="421" spans="1:16" ht="15">
      <c r="A421" s="142">
        <v>12</v>
      </c>
      <c r="B421" s="143">
        <v>6</v>
      </c>
      <c r="C421" s="522">
        <v>1</v>
      </c>
      <c r="D421" s="522">
        <v>111</v>
      </c>
      <c r="E421" s="522"/>
      <c r="F421" s="144"/>
      <c r="G421" s="145"/>
      <c r="H421" s="145" t="s">
        <v>594</v>
      </c>
      <c r="I421" s="145"/>
      <c r="J421" s="145"/>
      <c r="K421" s="145"/>
      <c r="L421" s="46">
        <v>263.59</v>
      </c>
      <c r="M421" s="46">
        <v>263.59</v>
      </c>
      <c r="N421" s="519">
        <v>500</v>
      </c>
      <c r="O421" s="140">
        <f>N421+N421*$O$351</f>
        <v>510</v>
      </c>
      <c r="P421" s="141">
        <f>N421+N421*$P$351</f>
        <v>520</v>
      </c>
    </row>
    <row r="422" spans="1:16" ht="15">
      <c r="A422" s="142">
        <v>12</v>
      </c>
      <c r="B422" s="143">
        <v>7</v>
      </c>
      <c r="C422" s="522">
        <v>1</v>
      </c>
      <c r="D422" s="522">
        <v>111</v>
      </c>
      <c r="E422" s="522"/>
      <c r="F422" s="144"/>
      <c r="G422" s="145"/>
      <c r="H422" s="145" t="s">
        <v>595</v>
      </c>
      <c r="I422" s="145"/>
      <c r="J422" s="145"/>
      <c r="K422" s="145"/>
      <c r="L422" s="46">
        <v>9.4</v>
      </c>
      <c r="M422" s="46">
        <v>9.4</v>
      </c>
      <c r="N422" s="519">
        <v>10</v>
      </c>
      <c r="O422" s="140">
        <f>N422+N422*$O$351</f>
        <v>10.2</v>
      </c>
      <c r="P422" s="141">
        <f>N422+N422*$P$351</f>
        <v>10.4</v>
      </c>
    </row>
    <row r="423" spans="1:16" ht="15">
      <c r="A423" s="217"/>
      <c r="B423" s="218"/>
      <c r="C423" s="219"/>
      <c r="D423" s="219"/>
      <c r="E423" s="219"/>
      <c r="F423" s="220"/>
      <c r="G423" s="221"/>
      <c r="H423" s="221" t="s">
        <v>596</v>
      </c>
      <c r="I423" s="221"/>
      <c r="J423" s="221"/>
      <c r="K423" s="221"/>
      <c r="L423" s="91">
        <f>SUM(L420:L422)</f>
        <v>292.85999999999996</v>
      </c>
      <c r="M423" s="91">
        <f>SUM(M420:M422)</f>
        <v>292.85999999999996</v>
      </c>
      <c r="N423" s="686">
        <f>SUM(N420:N422)</f>
        <v>510</v>
      </c>
      <c r="O423" s="509">
        <f>SUM(O420:O422)</f>
        <v>520.2</v>
      </c>
      <c r="P423" s="510">
        <f>SUM(P420:P422)</f>
        <v>530.4</v>
      </c>
    </row>
    <row r="424" spans="1:16" ht="15">
      <c r="A424" s="202">
        <v>12</v>
      </c>
      <c r="B424" s="203"/>
      <c r="C424" s="204"/>
      <c r="D424" s="204"/>
      <c r="E424" s="204"/>
      <c r="F424" s="205"/>
      <c r="G424" s="206"/>
      <c r="H424" s="206" t="s">
        <v>189</v>
      </c>
      <c r="I424" s="206"/>
      <c r="J424" s="206"/>
      <c r="K424" s="206"/>
      <c r="L424" s="442">
        <f>L358+L368+L389+L399+L405+L419+L423</f>
        <v>70827.87999999999</v>
      </c>
      <c r="M424" s="442">
        <f>M358+M368+M389+M399+M405+M419+M423</f>
        <v>58885.42</v>
      </c>
      <c r="N424" s="689">
        <f>N358+N368+N389+N399+N405+N419</f>
        <v>56296</v>
      </c>
      <c r="O424" s="255">
        <f t="shared" si="26"/>
        <v>57421.92</v>
      </c>
      <c r="P424" s="256">
        <f t="shared" si="27"/>
        <v>58547.84</v>
      </c>
    </row>
    <row r="425" spans="1:16" ht="15">
      <c r="A425" s="70"/>
      <c r="B425" s="71"/>
      <c r="C425" s="109"/>
      <c r="D425" s="109"/>
      <c r="E425" s="109"/>
      <c r="F425" s="72"/>
      <c r="G425" s="46"/>
      <c r="H425" s="46"/>
      <c r="I425" s="46"/>
      <c r="J425" s="46"/>
      <c r="K425" s="46"/>
      <c r="L425" s="46"/>
      <c r="M425" s="46"/>
      <c r="N425" s="519"/>
      <c r="O425" s="74"/>
      <c r="P425" s="75"/>
    </row>
    <row r="426" spans="1:16" ht="15">
      <c r="A426" s="19">
        <v>13</v>
      </c>
      <c r="B426" s="738" t="s">
        <v>24</v>
      </c>
      <c r="C426" s="738"/>
      <c r="D426" s="738"/>
      <c r="E426" s="738"/>
      <c r="F426" s="20" t="s">
        <v>190</v>
      </c>
      <c r="G426" s="21"/>
      <c r="H426" s="10"/>
      <c r="I426" s="56"/>
      <c r="J426" s="56"/>
      <c r="K426" s="56"/>
      <c r="L426" s="56"/>
      <c r="M426" s="56"/>
      <c r="N426" s="539"/>
      <c r="O426" s="369">
        <v>0.02</v>
      </c>
      <c r="P426" s="370">
        <v>0.04</v>
      </c>
    </row>
    <row r="427" spans="1:16" ht="15">
      <c r="A427" s="132" t="s">
        <v>0</v>
      </c>
      <c r="B427" s="7" t="s">
        <v>1</v>
      </c>
      <c r="C427" s="55" t="s">
        <v>2</v>
      </c>
      <c r="D427" s="55" t="s">
        <v>3</v>
      </c>
      <c r="E427" s="55" t="s">
        <v>4</v>
      </c>
      <c r="F427" s="8" t="s">
        <v>5</v>
      </c>
      <c r="G427" s="9" t="s">
        <v>6</v>
      </c>
      <c r="H427" s="9" t="s">
        <v>7</v>
      </c>
      <c r="I427" s="9"/>
      <c r="J427" s="9"/>
      <c r="K427" s="9"/>
      <c r="L427" s="46"/>
      <c r="M427" s="46"/>
      <c r="N427" s="519"/>
      <c r="O427" s="11"/>
      <c r="P427" s="18"/>
    </row>
    <row r="428" spans="1:16" ht="15">
      <c r="A428" s="19">
        <v>13</v>
      </c>
      <c r="B428" s="524">
        <v>1</v>
      </c>
      <c r="C428" s="521" t="s">
        <v>25</v>
      </c>
      <c r="D428" s="521"/>
      <c r="E428" s="521"/>
      <c r="F428" s="20"/>
      <c r="G428" s="21" t="s">
        <v>191</v>
      </c>
      <c r="H428" s="21"/>
      <c r="I428" s="10"/>
      <c r="J428" s="10"/>
      <c r="K428" s="10"/>
      <c r="L428" s="56"/>
      <c r="M428" s="56"/>
      <c r="N428" s="539"/>
      <c r="O428" s="13"/>
      <c r="P428" s="17"/>
    </row>
    <row r="429" spans="1:16" ht="15">
      <c r="A429" s="132">
        <v>13</v>
      </c>
      <c r="B429" s="7">
        <v>1</v>
      </c>
      <c r="C429" s="55">
        <v>1</v>
      </c>
      <c r="D429" s="55">
        <v>41</v>
      </c>
      <c r="E429" s="55">
        <v>632</v>
      </c>
      <c r="F429" s="8" t="s">
        <v>10</v>
      </c>
      <c r="G429" s="9"/>
      <c r="H429" s="9" t="s">
        <v>510</v>
      </c>
      <c r="I429" s="9"/>
      <c r="J429" s="9"/>
      <c r="K429" s="9"/>
      <c r="L429" s="46">
        <v>995</v>
      </c>
      <c r="M429" s="46">
        <v>993.68</v>
      </c>
      <c r="N429" s="519">
        <v>1000</v>
      </c>
      <c r="O429" s="11">
        <f>N429+N429*$O$426</f>
        <v>1020</v>
      </c>
      <c r="P429" s="18">
        <f>N429+N429*$P$426</f>
        <v>1040</v>
      </c>
    </row>
    <row r="430" spans="1:18" ht="15">
      <c r="A430" s="106"/>
      <c r="B430" s="107"/>
      <c r="C430" s="96"/>
      <c r="D430" s="96"/>
      <c r="E430" s="96">
        <v>632</v>
      </c>
      <c r="F430" s="108" t="s">
        <v>11</v>
      </c>
      <c r="G430" s="10"/>
      <c r="H430" s="10" t="s">
        <v>193</v>
      </c>
      <c r="I430" s="10"/>
      <c r="J430" s="10"/>
      <c r="K430" s="10"/>
      <c r="L430" s="56">
        <v>1200</v>
      </c>
      <c r="M430" s="56">
        <v>678.54</v>
      </c>
      <c r="N430" s="539">
        <v>600</v>
      </c>
      <c r="O430" s="11">
        <f aca="true" t="shared" si="28" ref="O430:O461">N430+N430*$O$426</f>
        <v>612</v>
      </c>
      <c r="P430" s="18">
        <v>1050</v>
      </c>
      <c r="R430" s="24" t="s">
        <v>700</v>
      </c>
    </row>
    <row r="431" spans="1:16" ht="15">
      <c r="A431" s="132"/>
      <c r="B431" s="7"/>
      <c r="C431" s="55"/>
      <c r="D431" s="55"/>
      <c r="E431" s="55">
        <v>633</v>
      </c>
      <c r="F431" s="8" t="s">
        <v>29</v>
      </c>
      <c r="G431" s="9"/>
      <c r="H431" s="9" t="s">
        <v>66</v>
      </c>
      <c r="I431" s="9"/>
      <c r="J431" s="9"/>
      <c r="K431" s="9"/>
      <c r="L431" s="46">
        <v>100</v>
      </c>
      <c r="M431" s="46">
        <v>2.96</v>
      </c>
      <c r="N431" s="519">
        <v>100</v>
      </c>
      <c r="O431" s="11">
        <f t="shared" si="28"/>
        <v>102</v>
      </c>
      <c r="P431" s="18">
        <f aca="true" t="shared" si="29" ref="P431:P461">N431+N431*$P$426</f>
        <v>104</v>
      </c>
    </row>
    <row r="432" spans="1:16" ht="15">
      <c r="A432" s="106"/>
      <c r="B432" s="107"/>
      <c r="C432" s="96"/>
      <c r="D432" s="96"/>
      <c r="E432" s="96">
        <v>637</v>
      </c>
      <c r="F432" s="108" t="s">
        <v>13</v>
      </c>
      <c r="G432" s="10"/>
      <c r="H432" s="10" t="s">
        <v>34</v>
      </c>
      <c r="I432" s="10"/>
      <c r="J432" s="10"/>
      <c r="K432" s="10"/>
      <c r="L432" s="56">
        <v>0</v>
      </c>
      <c r="M432" s="56">
        <v>0</v>
      </c>
      <c r="N432" s="539">
        <v>10</v>
      </c>
      <c r="O432" s="11">
        <f t="shared" si="28"/>
        <v>10.2</v>
      </c>
      <c r="P432" s="18">
        <f t="shared" si="29"/>
        <v>10.4</v>
      </c>
    </row>
    <row r="433" spans="1:16" ht="15">
      <c r="A433" s="132"/>
      <c r="B433" s="7"/>
      <c r="C433" s="55"/>
      <c r="D433" s="55"/>
      <c r="E433" s="55">
        <v>637</v>
      </c>
      <c r="F433" s="8" t="s">
        <v>76</v>
      </c>
      <c r="G433" s="9"/>
      <c r="H433" s="9" t="s">
        <v>194</v>
      </c>
      <c r="I433" s="9"/>
      <c r="J433" s="9"/>
      <c r="K433" s="9"/>
      <c r="L433" s="46">
        <v>0</v>
      </c>
      <c r="M433" s="46">
        <v>0</v>
      </c>
      <c r="N433" s="519">
        <v>425</v>
      </c>
      <c r="O433" s="11">
        <f t="shared" si="28"/>
        <v>433.5</v>
      </c>
      <c r="P433" s="18">
        <f t="shared" si="29"/>
        <v>442</v>
      </c>
    </row>
    <row r="434" spans="1:16" ht="15">
      <c r="A434" s="19">
        <v>13</v>
      </c>
      <c r="B434" s="524">
        <v>1</v>
      </c>
      <c r="C434" s="521"/>
      <c r="D434" s="521"/>
      <c r="E434" s="521"/>
      <c r="F434" s="20"/>
      <c r="G434" s="21"/>
      <c r="H434" s="21" t="s">
        <v>195</v>
      </c>
      <c r="I434" s="21"/>
      <c r="J434" s="21"/>
      <c r="K434" s="21"/>
      <c r="L434" s="91">
        <f>SUM(L429:L433)</f>
        <v>2295</v>
      </c>
      <c r="M434" s="91">
        <f>SUM(M429:M433)</f>
        <v>1675.1799999999998</v>
      </c>
      <c r="N434" s="686">
        <f>SUM(N429:N433)</f>
        <v>2135</v>
      </c>
      <c r="O434" s="14">
        <f t="shared" si="28"/>
        <v>2177.7</v>
      </c>
      <c r="P434" s="133">
        <f t="shared" si="29"/>
        <v>2220.4</v>
      </c>
    </row>
    <row r="435" spans="1:16" ht="15">
      <c r="A435" s="6">
        <v>13</v>
      </c>
      <c r="B435" s="3">
        <v>2</v>
      </c>
      <c r="C435" s="523" t="s">
        <v>25</v>
      </c>
      <c r="D435" s="523"/>
      <c r="E435" s="523"/>
      <c r="F435" s="4"/>
      <c r="G435" s="5" t="s">
        <v>196</v>
      </c>
      <c r="H435" s="5"/>
      <c r="I435" s="9"/>
      <c r="J435" s="9"/>
      <c r="K435" s="9"/>
      <c r="L435" s="46"/>
      <c r="M435" s="46"/>
      <c r="N435" s="519"/>
      <c r="O435" s="11">
        <f t="shared" si="28"/>
        <v>0</v>
      </c>
      <c r="P435" s="18">
        <f t="shared" si="29"/>
        <v>0</v>
      </c>
    </row>
    <row r="436" spans="1:16" ht="15">
      <c r="A436" s="106">
        <v>13</v>
      </c>
      <c r="B436" s="107">
        <v>2</v>
      </c>
      <c r="C436" s="96">
        <v>1</v>
      </c>
      <c r="D436" s="96">
        <v>41</v>
      </c>
      <c r="E436" s="96">
        <v>632</v>
      </c>
      <c r="F436" s="108" t="s">
        <v>10</v>
      </c>
      <c r="G436" s="10"/>
      <c r="H436" s="10" t="s">
        <v>192</v>
      </c>
      <c r="I436" s="10"/>
      <c r="J436" s="10"/>
      <c r="K436" s="10"/>
      <c r="L436" s="56">
        <v>900</v>
      </c>
      <c r="M436" s="56">
        <v>0</v>
      </c>
      <c r="N436" s="539">
        <v>0</v>
      </c>
      <c r="O436" s="11">
        <f t="shared" si="28"/>
        <v>0</v>
      </c>
      <c r="P436" s="18">
        <f t="shared" si="29"/>
        <v>0</v>
      </c>
    </row>
    <row r="437" spans="1:16" ht="15">
      <c r="A437" s="132"/>
      <c r="B437" s="7"/>
      <c r="C437" s="55"/>
      <c r="D437" s="55"/>
      <c r="E437" s="55">
        <v>632</v>
      </c>
      <c r="F437" s="8" t="s">
        <v>11</v>
      </c>
      <c r="G437" s="9"/>
      <c r="H437" s="9" t="s">
        <v>193</v>
      </c>
      <c r="I437" s="9"/>
      <c r="J437" s="9"/>
      <c r="K437" s="9"/>
      <c r="L437" s="46">
        <v>900</v>
      </c>
      <c r="M437" s="46">
        <v>1055.66</v>
      </c>
      <c r="N437" s="519">
        <v>900</v>
      </c>
      <c r="O437" s="11">
        <f t="shared" si="28"/>
        <v>918</v>
      </c>
      <c r="P437" s="18">
        <f t="shared" si="29"/>
        <v>936</v>
      </c>
    </row>
    <row r="438" spans="1:16" ht="15">
      <c r="A438" s="132"/>
      <c r="B438" s="7"/>
      <c r="C438" s="55"/>
      <c r="D438" s="55"/>
      <c r="E438" s="55">
        <v>633</v>
      </c>
      <c r="F438" s="8" t="s">
        <v>29</v>
      </c>
      <c r="G438" s="9"/>
      <c r="H438" s="9" t="s">
        <v>66</v>
      </c>
      <c r="I438" s="9"/>
      <c r="J438" s="9"/>
      <c r="K438" s="9"/>
      <c r="L438" s="46">
        <v>100</v>
      </c>
      <c r="M438" s="46">
        <v>2.97</v>
      </c>
      <c r="N438" s="519">
        <v>100</v>
      </c>
      <c r="O438" s="11">
        <f t="shared" si="28"/>
        <v>102</v>
      </c>
      <c r="P438" s="18">
        <f t="shared" si="29"/>
        <v>104</v>
      </c>
    </row>
    <row r="439" spans="1:16" ht="15">
      <c r="A439" s="157"/>
      <c r="B439" s="158"/>
      <c r="C439" s="118"/>
      <c r="D439" s="118"/>
      <c r="E439" s="118">
        <v>637</v>
      </c>
      <c r="F439" s="159" t="s">
        <v>13</v>
      </c>
      <c r="G439" s="117"/>
      <c r="H439" s="117" t="s">
        <v>34</v>
      </c>
      <c r="I439" s="117"/>
      <c r="J439" s="117"/>
      <c r="K439" s="117"/>
      <c r="L439" s="86">
        <v>500</v>
      </c>
      <c r="M439" s="86">
        <v>251.68</v>
      </c>
      <c r="N439" s="683">
        <v>300</v>
      </c>
      <c r="O439" s="11">
        <f t="shared" si="28"/>
        <v>306</v>
      </c>
      <c r="P439" s="18">
        <f t="shared" si="29"/>
        <v>312</v>
      </c>
    </row>
    <row r="440" spans="1:16" ht="15">
      <c r="A440" s="106"/>
      <c r="B440" s="107"/>
      <c r="C440" s="96"/>
      <c r="D440" s="96"/>
      <c r="E440" s="96">
        <v>637</v>
      </c>
      <c r="F440" s="108" t="s">
        <v>76</v>
      </c>
      <c r="G440" s="10"/>
      <c r="H440" s="10" t="s">
        <v>194</v>
      </c>
      <c r="I440" s="10"/>
      <c r="J440" s="10"/>
      <c r="K440" s="10"/>
      <c r="L440" s="56">
        <v>410</v>
      </c>
      <c r="M440" s="56">
        <v>321.43</v>
      </c>
      <c r="N440" s="539">
        <v>410</v>
      </c>
      <c r="O440" s="11">
        <f t="shared" si="28"/>
        <v>418.2</v>
      </c>
      <c r="P440" s="18">
        <f t="shared" si="29"/>
        <v>426.4</v>
      </c>
    </row>
    <row r="441" spans="1:16" ht="15">
      <c r="A441" s="6">
        <v>13</v>
      </c>
      <c r="B441" s="3">
        <v>2</v>
      </c>
      <c r="C441" s="523"/>
      <c r="D441" s="523"/>
      <c r="E441" s="523"/>
      <c r="F441" s="4"/>
      <c r="G441" s="5"/>
      <c r="H441" s="5" t="s">
        <v>197</v>
      </c>
      <c r="I441" s="5"/>
      <c r="J441" s="5"/>
      <c r="K441" s="5"/>
      <c r="L441" s="73">
        <f>SUM(L436:L440)</f>
        <v>2810</v>
      </c>
      <c r="M441" s="73">
        <f>SUM(M436:M440)</f>
        <v>1631.7400000000002</v>
      </c>
      <c r="N441" s="520">
        <f>SUM(N436:N440)</f>
        <v>1710</v>
      </c>
      <c r="O441" s="14">
        <f t="shared" si="28"/>
        <v>1744.2</v>
      </c>
      <c r="P441" s="133">
        <f t="shared" si="29"/>
        <v>1778.4</v>
      </c>
    </row>
    <row r="442" spans="1:16" ht="15">
      <c r="A442" s="19">
        <v>13</v>
      </c>
      <c r="B442" s="524">
        <v>3</v>
      </c>
      <c r="C442" s="521" t="s">
        <v>25</v>
      </c>
      <c r="D442" s="521"/>
      <c r="E442" s="521"/>
      <c r="F442" s="20"/>
      <c r="G442" s="21" t="s">
        <v>198</v>
      </c>
      <c r="H442" s="21"/>
      <c r="I442" s="10"/>
      <c r="J442" s="10"/>
      <c r="K442" s="10"/>
      <c r="L442" s="56"/>
      <c r="M442" s="56"/>
      <c r="N442" s="539"/>
      <c r="O442" s="11">
        <f t="shared" si="28"/>
        <v>0</v>
      </c>
      <c r="P442" s="18">
        <f t="shared" si="29"/>
        <v>0</v>
      </c>
    </row>
    <row r="443" spans="1:16" ht="15">
      <c r="A443" s="132">
        <v>13</v>
      </c>
      <c r="B443" s="7">
        <v>3</v>
      </c>
      <c r="C443" s="55">
        <v>1</v>
      </c>
      <c r="D443" s="55">
        <v>41</v>
      </c>
      <c r="E443" s="55">
        <v>632</v>
      </c>
      <c r="F443" s="8" t="s">
        <v>10</v>
      </c>
      <c r="G443" s="9"/>
      <c r="H443" s="9" t="s">
        <v>192</v>
      </c>
      <c r="I443" s="9"/>
      <c r="J443" s="9"/>
      <c r="K443" s="9"/>
      <c r="L443" s="46"/>
      <c r="M443" s="46"/>
      <c r="N443" s="519">
        <v>0</v>
      </c>
      <c r="O443" s="11">
        <f t="shared" si="28"/>
        <v>0</v>
      </c>
      <c r="P443" s="18">
        <f t="shared" si="29"/>
        <v>0</v>
      </c>
    </row>
    <row r="444" spans="1:16" ht="15">
      <c r="A444" s="106"/>
      <c r="B444" s="107"/>
      <c r="C444" s="96"/>
      <c r="D444" s="96"/>
      <c r="E444" s="96">
        <v>632</v>
      </c>
      <c r="F444" s="108" t="s">
        <v>11</v>
      </c>
      <c r="G444" s="10"/>
      <c r="H444" s="10" t="s">
        <v>465</v>
      </c>
      <c r="I444" s="10"/>
      <c r="J444" s="10"/>
      <c r="K444" s="10"/>
      <c r="L444" s="56">
        <v>3400</v>
      </c>
      <c r="M444" s="56">
        <v>3074.17</v>
      </c>
      <c r="N444" s="539">
        <v>3400</v>
      </c>
      <c r="O444" s="11">
        <f t="shared" si="28"/>
        <v>3468</v>
      </c>
      <c r="P444" s="18">
        <f t="shared" si="29"/>
        <v>3536</v>
      </c>
    </row>
    <row r="445" spans="1:16" ht="15">
      <c r="A445" s="132"/>
      <c r="B445" s="7"/>
      <c r="C445" s="55"/>
      <c r="D445" s="55"/>
      <c r="E445" s="55">
        <v>633</v>
      </c>
      <c r="F445" s="8" t="s">
        <v>29</v>
      </c>
      <c r="G445" s="9"/>
      <c r="H445" s="9" t="s">
        <v>66</v>
      </c>
      <c r="I445" s="9"/>
      <c r="J445" s="9"/>
      <c r="K445" s="9"/>
      <c r="L445" s="46">
        <v>100</v>
      </c>
      <c r="M445" s="46">
        <v>2.97</v>
      </c>
      <c r="N445" s="519">
        <v>100</v>
      </c>
      <c r="O445" s="11">
        <f t="shared" si="28"/>
        <v>102</v>
      </c>
      <c r="P445" s="18">
        <f t="shared" si="29"/>
        <v>104</v>
      </c>
    </row>
    <row r="446" spans="1:16" ht="15">
      <c r="A446" s="106"/>
      <c r="B446" s="107"/>
      <c r="C446" s="96"/>
      <c r="D446" s="96"/>
      <c r="E446" s="96">
        <v>637</v>
      </c>
      <c r="F446" s="108" t="s">
        <v>13</v>
      </c>
      <c r="G446" s="10"/>
      <c r="H446" s="10" t="s">
        <v>34</v>
      </c>
      <c r="I446" s="10"/>
      <c r="J446" s="10"/>
      <c r="K446" s="10"/>
      <c r="L446" s="56">
        <v>500</v>
      </c>
      <c r="M446" s="56">
        <v>0</v>
      </c>
      <c r="N446" s="539">
        <v>500</v>
      </c>
      <c r="O446" s="11">
        <f t="shared" si="28"/>
        <v>510</v>
      </c>
      <c r="P446" s="18">
        <f t="shared" si="29"/>
        <v>520</v>
      </c>
    </row>
    <row r="447" spans="1:16" ht="15">
      <c r="A447" s="132"/>
      <c r="B447" s="7"/>
      <c r="C447" s="55"/>
      <c r="D447" s="55"/>
      <c r="E447" s="55">
        <v>637</v>
      </c>
      <c r="F447" s="8" t="s">
        <v>76</v>
      </c>
      <c r="G447" s="9"/>
      <c r="H447" s="9" t="s">
        <v>194</v>
      </c>
      <c r="I447" s="9"/>
      <c r="J447" s="9"/>
      <c r="K447" s="9"/>
      <c r="L447" s="46">
        <v>1113</v>
      </c>
      <c r="M447" s="46">
        <v>896.08</v>
      </c>
      <c r="N447" s="519">
        <v>800</v>
      </c>
      <c r="O447" s="11">
        <f t="shared" si="28"/>
        <v>816</v>
      </c>
      <c r="P447" s="18">
        <f t="shared" si="29"/>
        <v>832</v>
      </c>
    </row>
    <row r="448" spans="1:16" ht="15">
      <c r="A448" s="19">
        <v>13</v>
      </c>
      <c r="B448" s="524">
        <v>3</v>
      </c>
      <c r="C448" s="521"/>
      <c r="D448" s="521"/>
      <c r="E448" s="521"/>
      <c r="F448" s="20"/>
      <c r="G448" s="21"/>
      <c r="H448" s="21" t="s">
        <v>195</v>
      </c>
      <c r="I448" s="21"/>
      <c r="J448" s="21"/>
      <c r="K448" s="21"/>
      <c r="L448" s="91">
        <f>SUM(L444:L447)</f>
        <v>5113</v>
      </c>
      <c r="M448" s="91">
        <f>SUM(M444:M447)</f>
        <v>3973.22</v>
      </c>
      <c r="N448" s="686">
        <f>SUM(N443:N447)</f>
        <v>4800</v>
      </c>
      <c r="O448" s="14">
        <f t="shared" si="28"/>
        <v>4896</v>
      </c>
      <c r="P448" s="133">
        <f t="shared" si="29"/>
        <v>4992</v>
      </c>
    </row>
    <row r="449" spans="1:16" ht="15">
      <c r="A449" s="6">
        <v>13</v>
      </c>
      <c r="B449" s="3">
        <v>4</v>
      </c>
      <c r="C449" s="523" t="s">
        <v>25</v>
      </c>
      <c r="D449" s="523"/>
      <c r="E449" s="523"/>
      <c r="F449" s="4"/>
      <c r="G449" s="5" t="s">
        <v>199</v>
      </c>
      <c r="H449" s="5"/>
      <c r="I449" s="5"/>
      <c r="J449" s="9"/>
      <c r="K449" s="9"/>
      <c r="L449" s="46"/>
      <c r="M449" s="46"/>
      <c r="N449" s="519"/>
      <c r="O449" s="11">
        <f t="shared" si="28"/>
        <v>0</v>
      </c>
      <c r="P449" s="18">
        <f t="shared" si="29"/>
        <v>0</v>
      </c>
    </row>
    <row r="450" spans="1:16" ht="15">
      <c r="A450" s="132">
        <v>13</v>
      </c>
      <c r="B450" s="7">
        <v>4</v>
      </c>
      <c r="C450" s="55">
        <v>1</v>
      </c>
      <c r="D450" s="55">
        <v>41</v>
      </c>
      <c r="E450" s="55">
        <v>632</v>
      </c>
      <c r="F450" s="8" t="s">
        <v>10</v>
      </c>
      <c r="G450" s="9"/>
      <c r="H450" s="9" t="s">
        <v>192</v>
      </c>
      <c r="I450" s="9"/>
      <c r="J450" s="9"/>
      <c r="K450" s="9"/>
      <c r="L450" s="46">
        <v>2049</v>
      </c>
      <c r="M450" s="46">
        <v>1867.8</v>
      </c>
      <c r="N450" s="519">
        <v>2000</v>
      </c>
      <c r="O450" s="11">
        <f t="shared" si="28"/>
        <v>2040</v>
      </c>
      <c r="P450" s="18">
        <f t="shared" si="29"/>
        <v>2080</v>
      </c>
    </row>
    <row r="451" spans="1:16" ht="15">
      <c r="A451" s="106"/>
      <c r="B451" s="107"/>
      <c r="C451" s="96"/>
      <c r="D451" s="96"/>
      <c r="E451" s="96">
        <v>632</v>
      </c>
      <c r="F451" s="108" t="s">
        <v>10</v>
      </c>
      <c r="G451" s="10"/>
      <c r="H451" s="10" t="s">
        <v>466</v>
      </c>
      <c r="I451" s="10"/>
      <c r="J451" s="10"/>
      <c r="K451" s="10"/>
      <c r="L451" s="56">
        <v>7783</v>
      </c>
      <c r="M451" s="56">
        <v>7760.37</v>
      </c>
      <c r="N451" s="539">
        <v>8000</v>
      </c>
      <c r="O451" s="12">
        <f t="shared" si="28"/>
        <v>8160</v>
      </c>
      <c r="P451" s="22">
        <f t="shared" si="29"/>
        <v>8320</v>
      </c>
    </row>
    <row r="452" spans="1:16" ht="15">
      <c r="A452" s="132"/>
      <c r="B452" s="7"/>
      <c r="C452" s="55"/>
      <c r="D452" s="55"/>
      <c r="E452" s="55">
        <v>632</v>
      </c>
      <c r="F452" s="8" t="s">
        <v>11</v>
      </c>
      <c r="G452" s="9"/>
      <c r="H452" s="9" t="s">
        <v>193</v>
      </c>
      <c r="I452" s="9"/>
      <c r="J452" s="9"/>
      <c r="K452" s="9"/>
      <c r="L452" s="46">
        <v>370</v>
      </c>
      <c r="M452" s="46">
        <v>62.25</v>
      </c>
      <c r="N452" s="519">
        <v>80</v>
      </c>
      <c r="O452" s="11">
        <f t="shared" si="28"/>
        <v>81.6</v>
      </c>
      <c r="P452" s="18">
        <f t="shared" si="29"/>
        <v>83.2</v>
      </c>
    </row>
    <row r="453" spans="1:16" ht="15">
      <c r="A453" s="106"/>
      <c r="B453" s="107"/>
      <c r="C453" s="96"/>
      <c r="D453" s="96"/>
      <c r="E453" s="96">
        <v>633</v>
      </c>
      <c r="F453" s="108" t="s">
        <v>29</v>
      </c>
      <c r="G453" s="10"/>
      <c r="H453" s="10" t="s">
        <v>66</v>
      </c>
      <c r="I453" s="10"/>
      <c r="J453" s="10"/>
      <c r="K453" s="10"/>
      <c r="L453" s="56">
        <v>1051</v>
      </c>
      <c r="M453" s="56">
        <v>1049.97</v>
      </c>
      <c r="N453" s="539">
        <v>400</v>
      </c>
      <c r="O453" s="11">
        <f t="shared" si="28"/>
        <v>408</v>
      </c>
      <c r="P453" s="18">
        <f t="shared" si="29"/>
        <v>416</v>
      </c>
    </row>
    <row r="454" spans="1:16" ht="15">
      <c r="A454" s="132"/>
      <c r="B454" s="7"/>
      <c r="C454" s="55"/>
      <c r="D454" s="55"/>
      <c r="E454" s="55">
        <v>633</v>
      </c>
      <c r="F454" s="8" t="s">
        <v>29</v>
      </c>
      <c r="G454" s="9"/>
      <c r="H454" s="9" t="s">
        <v>200</v>
      </c>
      <c r="I454" s="9"/>
      <c r="J454" s="9"/>
      <c r="K454" s="9"/>
      <c r="L454" s="46">
        <v>500</v>
      </c>
      <c r="M454" s="46">
        <v>81.02</v>
      </c>
      <c r="N454" s="519">
        <v>500</v>
      </c>
      <c r="O454" s="11">
        <f t="shared" si="28"/>
        <v>510</v>
      </c>
      <c r="P454" s="18">
        <f t="shared" si="29"/>
        <v>520</v>
      </c>
    </row>
    <row r="455" spans="1:16" ht="15">
      <c r="A455" s="106"/>
      <c r="B455" s="107"/>
      <c r="C455" s="96"/>
      <c r="D455" s="96"/>
      <c r="E455" s="96">
        <v>637</v>
      </c>
      <c r="F455" s="108" t="s">
        <v>13</v>
      </c>
      <c r="G455" s="10"/>
      <c r="H455" s="10" t="s">
        <v>34</v>
      </c>
      <c r="I455" s="10"/>
      <c r="J455" s="10"/>
      <c r="K455" s="10"/>
      <c r="L455" s="56">
        <v>1317</v>
      </c>
      <c r="M455" s="56">
        <v>1366.95</v>
      </c>
      <c r="N455" s="539">
        <v>600</v>
      </c>
      <c r="O455" s="11">
        <f t="shared" si="28"/>
        <v>612</v>
      </c>
      <c r="P455" s="18">
        <f t="shared" si="29"/>
        <v>624</v>
      </c>
    </row>
    <row r="456" spans="1:16" ht="15">
      <c r="A456" s="132"/>
      <c r="B456" s="7"/>
      <c r="C456" s="55"/>
      <c r="D456" s="55"/>
      <c r="E456" s="55">
        <v>637</v>
      </c>
      <c r="F456" s="8" t="s">
        <v>76</v>
      </c>
      <c r="G456" s="9"/>
      <c r="H456" s="9" t="s">
        <v>194</v>
      </c>
      <c r="I456" s="9"/>
      <c r="J456" s="9"/>
      <c r="K456" s="9"/>
      <c r="L456" s="46">
        <v>976</v>
      </c>
      <c r="M456" s="46">
        <v>0</v>
      </c>
      <c r="N456" s="519">
        <v>976</v>
      </c>
      <c r="O456" s="11">
        <f t="shared" si="28"/>
        <v>995.52</v>
      </c>
      <c r="P456" s="18">
        <f t="shared" si="29"/>
        <v>1015.04</v>
      </c>
    </row>
    <row r="457" spans="1:16" ht="15">
      <c r="A457" s="6">
        <v>13</v>
      </c>
      <c r="B457" s="3">
        <v>4</v>
      </c>
      <c r="C457" s="523"/>
      <c r="D457" s="523"/>
      <c r="E457" s="523"/>
      <c r="F457" s="4"/>
      <c r="G457" s="5"/>
      <c r="H457" s="5" t="s">
        <v>201</v>
      </c>
      <c r="I457" s="5"/>
      <c r="J457" s="5"/>
      <c r="K457" s="5"/>
      <c r="L457" s="73">
        <f>SUM(L450:L456)</f>
        <v>14046</v>
      </c>
      <c r="M457" s="73">
        <f>SUM(M450:M456)</f>
        <v>12188.36</v>
      </c>
      <c r="N457" s="520">
        <f>SUM(N450:N456)</f>
        <v>12556</v>
      </c>
      <c r="O457" s="14">
        <f t="shared" si="28"/>
        <v>12807.12</v>
      </c>
      <c r="P457" s="133">
        <f t="shared" si="29"/>
        <v>13058.24</v>
      </c>
    </row>
    <row r="458" spans="1:16" ht="15">
      <c r="A458" s="157">
        <v>13</v>
      </c>
      <c r="B458" s="158">
        <v>4</v>
      </c>
      <c r="C458" s="118">
        <v>2</v>
      </c>
      <c r="D458" s="118">
        <v>41</v>
      </c>
      <c r="E458" s="118">
        <v>717</v>
      </c>
      <c r="F458" s="159" t="s">
        <v>11</v>
      </c>
      <c r="G458" s="117"/>
      <c r="H458" s="117" t="s">
        <v>597</v>
      </c>
      <c r="I458" s="117"/>
      <c r="J458" s="117"/>
      <c r="K458" s="117"/>
      <c r="L458" s="86">
        <v>4534</v>
      </c>
      <c r="M458" s="86">
        <v>4533.29</v>
      </c>
      <c r="N458" s="683"/>
      <c r="O458" s="12"/>
      <c r="P458" s="18"/>
    </row>
    <row r="459" spans="1:16" ht="15">
      <c r="A459" s="266"/>
      <c r="B459" s="267"/>
      <c r="C459" s="268"/>
      <c r="D459" s="268"/>
      <c r="E459" s="268"/>
      <c r="F459" s="269"/>
      <c r="G459" s="270"/>
      <c r="H459" s="270" t="s">
        <v>598</v>
      </c>
      <c r="I459" s="270"/>
      <c r="J459" s="270"/>
      <c r="K459" s="270"/>
      <c r="L459" s="445">
        <f>L458</f>
        <v>4534</v>
      </c>
      <c r="M459" s="445">
        <f>M458</f>
        <v>4533.29</v>
      </c>
      <c r="N459" s="695"/>
      <c r="O459" s="29"/>
      <c r="P459" s="133"/>
    </row>
    <row r="460" spans="1:16" ht="15">
      <c r="A460" s="266"/>
      <c r="B460" s="267"/>
      <c r="C460" s="268"/>
      <c r="D460" s="268"/>
      <c r="E460" s="268"/>
      <c r="F460" s="269"/>
      <c r="G460" s="270"/>
      <c r="H460" s="270" t="s">
        <v>599</v>
      </c>
      <c r="I460" s="270"/>
      <c r="J460" s="270"/>
      <c r="K460" s="270"/>
      <c r="L460" s="445">
        <f>L457+L459</f>
        <v>18580</v>
      </c>
      <c r="M460" s="445">
        <f>M457+M459</f>
        <v>16721.65</v>
      </c>
      <c r="N460" s="695"/>
      <c r="O460" s="29"/>
      <c r="P460" s="133"/>
    </row>
    <row r="461" spans="1:16" ht="15">
      <c r="A461" s="257">
        <v>13</v>
      </c>
      <c r="B461" s="258"/>
      <c r="C461" s="259"/>
      <c r="D461" s="259"/>
      <c r="E461" s="259"/>
      <c r="F461" s="260"/>
      <c r="G461" s="261"/>
      <c r="H461" s="261" t="s">
        <v>202</v>
      </c>
      <c r="I461" s="261"/>
      <c r="J461" s="261"/>
      <c r="K461" s="261"/>
      <c r="L461" s="444">
        <f>L434+L441+L448+L457+L459</f>
        <v>28798</v>
      </c>
      <c r="M461" s="444">
        <f>M434+M441+M448+M457+M459</f>
        <v>24001.79</v>
      </c>
      <c r="N461" s="543">
        <f>N434+N441+N448+N457</f>
        <v>21201</v>
      </c>
      <c r="O461" s="262">
        <f t="shared" si="28"/>
        <v>21625.02</v>
      </c>
      <c r="P461" s="200">
        <f t="shared" si="29"/>
        <v>22049.04</v>
      </c>
    </row>
    <row r="462" spans="1:16" ht="15">
      <c r="A462" s="66"/>
      <c r="B462" s="67"/>
      <c r="C462" s="68"/>
      <c r="D462" s="68"/>
      <c r="E462" s="68"/>
      <c r="F462" s="69"/>
      <c r="G462" s="56"/>
      <c r="H462" s="56"/>
      <c r="I462" s="56"/>
      <c r="J462" s="56"/>
      <c r="K462" s="56"/>
      <c r="L462" s="56"/>
      <c r="M462" s="56"/>
      <c r="N462" s="539"/>
      <c r="O462" s="57"/>
      <c r="P462" s="58"/>
    </row>
    <row r="463" spans="1:18" ht="15">
      <c r="A463" s="180">
        <v>14</v>
      </c>
      <c r="B463" s="749" t="s">
        <v>24</v>
      </c>
      <c r="C463" s="750"/>
      <c r="D463" s="750"/>
      <c r="E463" s="751"/>
      <c r="F463" s="181" t="s">
        <v>203</v>
      </c>
      <c r="G463" s="5"/>
      <c r="H463" s="5"/>
      <c r="I463" s="9"/>
      <c r="J463" s="9"/>
      <c r="K463" s="9"/>
      <c r="L463" s="46"/>
      <c r="M463" s="46"/>
      <c r="N463" s="519"/>
      <c r="O463" s="361">
        <v>0.02</v>
      </c>
      <c r="P463" s="362">
        <v>0.04</v>
      </c>
      <c r="R463" s="24" t="s">
        <v>701</v>
      </c>
    </row>
    <row r="464" spans="1:16" ht="15">
      <c r="A464" s="132" t="s">
        <v>0</v>
      </c>
      <c r="B464" s="263" t="s">
        <v>1</v>
      </c>
      <c r="C464" s="55" t="s">
        <v>2</v>
      </c>
      <c r="D464" s="55" t="s">
        <v>3</v>
      </c>
      <c r="E464" s="55" t="s">
        <v>4</v>
      </c>
      <c r="F464" s="8" t="s">
        <v>5</v>
      </c>
      <c r="G464" s="9" t="s">
        <v>6</v>
      </c>
      <c r="H464" s="9" t="s">
        <v>7</v>
      </c>
      <c r="I464" s="9"/>
      <c r="J464" s="9"/>
      <c r="K464" s="9"/>
      <c r="L464" s="46"/>
      <c r="M464" s="46"/>
      <c r="N464" s="519"/>
      <c r="O464" s="11"/>
      <c r="P464" s="18"/>
    </row>
    <row r="465" spans="1:16" ht="15">
      <c r="A465" s="132">
        <v>14</v>
      </c>
      <c r="B465" s="7">
        <v>1</v>
      </c>
      <c r="C465" s="55" t="s">
        <v>25</v>
      </c>
      <c r="D465" s="55"/>
      <c r="E465" s="55"/>
      <c r="F465" s="8"/>
      <c r="G465" s="9" t="s">
        <v>204</v>
      </c>
      <c r="H465" s="9"/>
      <c r="I465" s="9"/>
      <c r="J465" s="9"/>
      <c r="K465" s="9"/>
      <c r="L465" s="46"/>
      <c r="M465" s="46"/>
      <c r="N465" s="519"/>
      <c r="O465" s="11"/>
      <c r="P465" s="18"/>
    </row>
    <row r="466" spans="1:16" ht="15">
      <c r="A466" s="106">
        <v>14</v>
      </c>
      <c r="B466" s="107">
        <v>1</v>
      </c>
      <c r="C466" s="96">
        <v>1</v>
      </c>
      <c r="D466" s="96">
        <v>111</v>
      </c>
      <c r="E466" s="96">
        <v>642</v>
      </c>
      <c r="F466" s="108" t="s">
        <v>65</v>
      </c>
      <c r="G466" s="10"/>
      <c r="H466" s="10" t="s">
        <v>511</v>
      </c>
      <c r="I466" s="10"/>
      <c r="J466" s="10"/>
      <c r="K466" s="10"/>
      <c r="L466" s="56">
        <v>202.33</v>
      </c>
      <c r="M466" s="56">
        <v>202.33</v>
      </c>
      <c r="N466" s="539">
        <v>300</v>
      </c>
      <c r="O466" s="12">
        <f>N466+N466*$O$463</f>
        <v>306</v>
      </c>
      <c r="P466" s="22">
        <f>N466+N466*$P$463</f>
        <v>312</v>
      </c>
    </row>
    <row r="467" spans="1:16" ht="15">
      <c r="A467" s="132">
        <v>14</v>
      </c>
      <c r="B467" s="7">
        <v>1</v>
      </c>
      <c r="C467" s="55">
        <v>1</v>
      </c>
      <c r="D467" s="55">
        <v>41</v>
      </c>
      <c r="E467" s="55">
        <v>642</v>
      </c>
      <c r="F467" s="8" t="s">
        <v>67</v>
      </c>
      <c r="G467" s="55">
        <v>1</v>
      </c>
      <c r="H467" s="9" t="s">
        <v>205</v>
      </c>
      <c r="I467" s="9"/>
      <c r="J467" s="9"/>
      <c r="K467" s="9"/>
      <c r="L467" s="46">
        <v>4850</v>
      </c>
      <c r="M467" s="46">
        <v>4847.4</v>
      </c>
      <c r="N467" s="519">
        <v>4500</v>
      </c>
      <c r="O467" s="11">
        <f>N467+N467*$O$463</f>
        <v>4590</v>
      </c>
      <c r="P467" s="18">
        <f>N467+N467*$P$463</f>
        <v>4680</v>
      </c>
    </row>
    <row r="468" spans="1:16" ht="15">
      <c r="A468" s="106"/>
      <c r="B468" s="107"/>
      <c r="C468" s="96"/>
      <c r="D468" s="96"/>
      <c r="E468" s="96">
        <v>642</v>
      </c>
      <c r="F468" s="108" t="s">
        <v>67</v>
      </c>
      <c r="G468" s="10">
        <v>2</v>
      </c>
      <c r="H468" s="10" t="s">
        <v>206</v>
      </c>
      <c r="I468" s="10"/>
      <c r="J468" s="10"/>
      <c r="K468" s="10"/>
      <c r="L468" s="56">
        <v>1223</v>
      </c>
      <c r="M468" s="56">
        <v>1223.02</v>
      </c>
      <c r="N468" s="539">
        <v>2400</v>
      </c>
      <c r="O468" s="11">
        <f aca="true" t="shared" si="30" ref="O468:O536">N468+N468*$O$463</f>
        <v>2448</v>
      </c>
      <c r="P468" s="18">
        <f aca="true" t="shared" si="31" ref="P468:P536">N468+N468*$P$463</f>
        <v>2496</v>
      </c>
    </row>
    <row r="469" spans="1:16" ht="15">
      <c r="A469" s="132"/>
      <c r="B469" s="7"/>
      <c r="C469" s="55"/>
      <c r="D469" s="55"/>
      <c r="E469" s="55">
        <v>642</v>
      </c>
      <c r="F469" s="8" t="s">
        <v>67</v>
      </c>
      <c r="G469" s="9">
        <v>3</v>
      </c>
      <c r="H469" s="9" t="s">
        <v>207</v>
      </c>
      <c r="I469" s="9"/>
      <c r="J469" s="9"/>
      <c r="K469" s="9"/>
      <c r="L469" s="46">
        <v>2281</v>
      </c>
      <c r="M469" s="46">
        <v>2280.23</v>
      </c>
      <c r="N469" s="519">
        <v>2300</v>
      </c>
      <c r="O469" s="11">
        <f t="shared" si="30"/>
        <v>2346</v>
      </c>
      <c r="P469" s="18">
        <f t="shared" si="31"/>
        <v>2392</v>
      </c>
    </row>
    <row r="470" spans="1:16" ht="15">
      <c r="A470" s="132"/>
      <c r="B470" s="7"/>
      <c r="C470" s="55"/>
      <c r="D470" s="55"/>
      <c r="E470" s="55">
        <v>642</v>
      </c>
      <c r="F470" s="8" t="s">
        <v>67</v>
      </c>
      <c r="G470" s="9">
        <v>4</v>
      </c>
      <c r="H470" s="9" t="s">
        <v>208</v>
      </c>
      <c r="I470" s="9"/>
      <c r="J470" s="9"/>
      <c r="K470" s="9"/>
      <c r="L470" s="46">
        <v>1346</v>
      </c>
      <c r="M470" s="46">
        <v>934.5</v>
      </c>
      <c r="N470" s="519">
        <v>2000</v>
      </c>
      <c r="O470" s="11">
        <f t="shared" si="30"/>
        <v>2040</v>
      </c>
      <c r="P470" s="18">
        <f t="shared" si="31"/>
        <v>2080</v>
      </c>
    </row>
    <row r="471" spans="1:16" ht="15">
      <c r="A471" s="106"/>
      <c r="B471" s="107"/>
      <c r="C471" s="96"/>
      <c r="D471" s="96"/>
      <c r="E471" s="96">
        <v>642</v>
      </c>
      <c r="F471" s="108" t="s">
        <v>67</v>
      </c>
      <c r="G471" s="10">
        <v>5</v>
      </c>
      <c r="H471" s="10" t="s">
        <v>471</v>
      </c>
      <c r="I471" s="10"/>
      <c r="J471" s="10"/>
      <c r="K471" s="10"/>
      <c r="L471" s="56">
        <v>300</v>
      </c>
      <c r="M471" s="56">
        <v>251.36</v>
      </c>
      <c r="N471" s="539">
        <v>300</v>
      </c>
      <c r="O471" s="12">
        <f t="shared" si="30"/>
        <v>306</v>
      </c>
      <c r="P471" s="22">
        <f t="shared" si="31"/>
        <v>312</v>
      </c>
    </row>
    <row r="472" spans="1:16" ht="15">
      <c r="A472" s="6">
        <v>14</v>
      </c>
      <c r="B472" s="3">
        <v>1</v>
      </c>
      <c r="C472" s="523"/>
      <c r="D472" s="523"/>
      <c r="E472" s="523"/>
      <c r="F472" s="4"/>
      <c r="G472" s="5"/>
      <c r="H472" s="5" t="s">
        <v>348</v>
      </c>
      <c r="I472" s="5"/>
      <c r="J472" s="5"/>
      <c r="K472" s="5"/>
      <c r="L472" s="73">
        <f>SUM(L466:L471)</f>
        <v>10202.33</v>
      </c>
      <c r="M472" s="73">
        <f>SUM(M466:M471)</f>
        <v>9738.84</v>
      </c>
      <c r="N472" s="520">
        <f>SUM(N467:N471)</f>
        <v>11500</v>
      </c>
      <c r="O472" s="14">
        <f t="shared" si="30"/>
        <v>11730</v>
      </c>
      <c r="P472" s="133">
        <f t="shared" si="31"/>
        <v>11960</v>
      </c>
    </row>
    <row r="473" spans="1:16" ht="15">
      <c r="A473" s="106" t="s">
        <v>0</v>
      </c>
      <c r="B473" s="107" t="s">
        <v>1</v>
      </c>
      <c r="C473" s="96" t="s">
        <v>2</v>
      </c>
      <c r="D473" s="96" t="s">
        <v>3</v>
      </c>
      <c r="E473" s="96" t="s">
        <v>4</v>
      </c>
      <c r="F473" s="108" t="s">
        <v>5</v>
      </c>
      <c r="G473" s="10" t="s">
        <v>6</v>
      </c>
      <c r="H473" s="10" t="s">
        <v>7</v>
      </c>
      <c r="I473" s="10"/>
      <c r="J473" s="10"/>
      <c r="K473" s="10"/>
      <c r="L473" s="56"/>
      <c r="M473" s="56"/>
      <c r="N473" s="539"/>
      <c r="O473" s="11">
        <f t="shared" si="30"/>
        <v>0</v>
      </c>
      <c r="P473" s="18">
        <f t="shared" si="31"/>
        <v>0</v>
      </c>
    </row>
    <row r="474" spans="1:16" ht="15">
      <c r="A474" s="6">
        <v>14</v>
      </c>
      <c r="B474" s="3">
        <v>2</v>
      </c>
      <c r="C474" s="523" t="s">
        <v>25</v>
      </c>
      <c r="D474" s="523"/>
      <c r="E474" s="523"/>
      <c r="F474" s="4"/>
      <c r="G474" s="4" t="s">
        <v>419</v>
      </c>
      <c r="H474" s="5"/>
      <c r="I474" s="5"/>
      <c r="J474" s="5"/>
      <c r="K474" s="5"/>
      <c r="L474" s="73"/>
      <c r="M474" s="73"/>
      <c r="N474" s="519"/>
      <c r="O474" s="11">
        <f t="shared" si="30"/>
        <v>0</v>
      </c>
      <c r="P474" s="18">
        <f t="shared" si="31"/>
        <v>0</v>
      </c>
    </row>
    <row r="475" spans="1:16" ht="15">
      <c r="A475" s="132">
        <v>14</v>
      </c>
      <c r="B475" s="7">
        <v>2</v>
      </c>
      <c r="C475" s="55">
        <v>1</v>
      </c>
      <c r="D475" s="55">
        <v>111</v>
      </c>
      <c r="E475" s="55">
        <v>611</v>
      </c>
      <c r="F475" s="8"/>
      <c r="G475" s="9"/>
      <c r="H475" s="9" t="s">
        <v>8</v>
      </c>
      <c r="I475" s="9"/>
      <c r="J475" s="9"/>
      <c r="K475" s="9"/>
      <c r="L475" s="46">
        <v>5822.3</v>
      </c>
      <c r="M475" s="46">
        <v>5822.3</v>
      </c>
      <c r="N475" s="519">
        <v>83500</v>
      </c>
      <c r="O475" s="11">
        <f t="shared" si="30"/>
        <v>85170</v>
      </c>
      <c r="P475" s="18">
        <f t="shared" si="31"/>
        <v>86840</v>
      </c>
    </row>
    <row r="476" spans="1:16" ht="15">
      <c r="A476" s="157"/>
      <c r="B476" s="158"/>
      <c r="C476" s="118"/>
      <c r="D476" s="118"/>
      <c r="E476" s="118">
        <v>612</v>
      </c>
      <c r="F476" s="159" t="s">
        <v>10</v>
      </c>
      <c r="G476" s="117"/>
      <c r="H476" s="117" t="s">
        <v>512</v>
      </c>
      <c r="I476" s="117"/>
      <c r="J476" s="117"/>
      <c r="K476" s="117"/>
      <c r="L476" s="86">
        <v>0</v>
      </c>
      <c r="M476" s="86">
        <v>0</v>
      </c>
      <c r="N476" s="683">
        <v>1700</v>
      </c>
      <c r="O476" s="12">
        <f t="shared" si="30"/>
        <v>1734</v>
      </c>
      <c r="P476" s="18">
        <f t="shared" si="31"/>
        <v>1768</v>
      </c>
    </row>
    <row r="477" spans="1:16" ht="15">
      <c r="A477" s="157"/>
      <c r="B477" s="158"/>
      <c r="C477" s="118"/>
      <c r="D477" s="118"/>
      <c r="E477" s="118">
        <v>621</v>
      </c>
      <c r="F477" s="159"/>
      <c r="G477" s="117"/>
      <c r="H477" s="117" t="s">
        <v>71</v>
      </c>
      <c r="I477" s="117"/>
      <c r="J477" s="117"/>
      <c r="K477" s="117"/>
      <c r="L477" s="86">
        <v>477.5</v>
      </c>
      <c r="M477" s="86">
        <v>477.5</v>
      </c>
      <c r="N477" s="683">
        <v>1700</v>
      </c>
      <c r="O477" s="11">
        <f>N477+N477*$O$463</f>
        <v>1734</v>
      </c>
      <c r="P477" s="18">
        <f>N477+N477*$P$463</f>
        <v>1768</v>
      </c>
    </row>
    <row r="478" spans="1:16" ht="15">
      <c r="A478" s="132"/>
      <c r="B478" s="7"/>
      <c r="C478" s="55"/>
      <c r="D478" s="55"/>
      <c r="E478" s="55">
        <v>623</v>
      </c>
      <c r="F478" s="8"/>
      <c r="G478" s="9"/>
      <c r="H478" s="9" t="s">
        <v>210</v>
      </c>
      <c r="I478" s="9"/>
      <c r="J478" s="9"/>
      <c r="K478" s="9"/>
      <c r="L478" s="46">
        <v>104.73</v>
      </c>
      <c r="M478" s="46">
        <v>104.73</v>
      </c>
      <c r="N478" s="519">
        <v>1700</v>
      </c>
      <c r="O478" s="11">
        <f t="shared" si="30"/>
        <v>1734</v>
      </c>
      <c r="P478" s="18">
        <f t="shared" si="31"/>
        <v>1768</v>
      </c>
    </row>
    <row r="479" spans="1:16" ht="15">
      <c r="A479" s="106"/>
      <c r="B479" s="107"/>
      <c r="C479" s="96"/>
      <c r="D479" s="96"/>
      <c r="E479" s="96">
        <v>625</v>
      </c>
      <c r="F479" s="108" t="s">
        <v>10</v>
      </c>
      <c r="G479" s="10"/>
      <c r="H479" s="10" t="s">
        <v>15</v>
      </c>
      <c r="I479" s="10"/>
      <c r="J479" s="10"/>
      <c r="K479" s="10"/>
      <c r="L479" s="56">
        <v>81.51</v>
      </c>
      <c r="M479" s="56">
        <v>81.51</v>
      </c>
      <c r="N479" s="539">
        <f>N475*1.4%</f>
        <v>1168.9999999999998</v>
      </c>
      <c r="O479" s="11">
        <f t="shared" si="30"/>
        <v>1192.3799999999997</v>
      </c>
      <c r="P479" s="18">
        <f t="shared" si="31"/>
        <v>1215.7599999999998</v>
      </c>
    </row>
    <row r="480" spans="1:16" ht="15">
      <c r="A480" s="132"/>
      <c r="B480" s="7"/>
      <c r="C480" s="55"/>
      <c r="D480" s="55"/>
      <c r="E480" s="55">
        <v>625</v>
      </c>
      <c r="F480" s="8" t="s">
        <v>11</v>
      </c>
      <c r="G480" s="9"/>
      <c r="H480" s="9" t="s">
        <v>16</v>
      </c>
      <c r="I480" s="9"/>
      <c r="J480" s="9"/>
      <c r="K480" s="9"/>
      <c r="L480" s="46">
        <v>815.12</v>
      </c>
      <c r="M480" s="46">
        <v>815.12</v>
      </c>
      <c r="N480" s="519">
        <f>N475*14%</f>
        <v>11690.000000000002</v>
      </c>
      <c r="O480" s="11">
        <f t="shared" si="30"/>
        <v>11923.800000000001</v>
      </c>
      <c r="P480" s="18">
        <f t="shared" si="31"/>
        <v>12157.600000000002</v>
      </c>
    </row>
    <row r="481" spans="1:16" ht="15">
      <c r="A481" s="106"/>
      <c r="B481" s="107"/>
      <c r="C481" s="96"/>
      <c r="D481" s="96"/>
      <c r="E481" s="96">
        <v>625</v>
      </c>
      <c r="F481" s="108" t="s">
        <v>12</v>
      </c>
      <c r="G481" s="10"/>
      <c r="H481" s="10" t="s">
        <v>17</v>
      </c>
      <c r="I481" s="10"/>
      <c r="J481" s="10"/>
      <c r="K481" s="10"/>
      <c r="L481" s="56">
        <v>46.58</v>
      </c>
      <c r="M481" s="56">
        <v>46.58</v>
      </c>
      <c r="N481" s="539">
        <f>N475*0.8%</f>
        <v>668</v>
      </c>
      <c r="O481" s="11">
        <f t="shared" si="30"/>
        <v>681.36</v>
      </c>
      <c r="P481" s="18">
        <f t="shared" si="31"/>
        <v>694.72</v>
      </c>
    </row>
    <row r="482" spans="1:16" ht="15">
      <c r="A482" s="132"/>
      <c r="B482" s="7"/>
      <c r="C482" s="55"/>
      <c r="D482" s="55"/>
      <c r="E482" s="55">
        <v>625</v>
      </c>
      <c r="F482" s="8" t="s">
        <v>13</v>
      </c>
      <c r="G482" s="9"/>
      <c r="H482" s="9" t="s">
        <v>18</v>
      </c>
      <c r="I482" s="9"/>
      <c r="J482" s="9"/>
      <c r="K482" s="9"/>
      <c r="L482" s="46">
        <v>174.66</v>
      </c>
      <c r="M482" s="46">
        <v>174.66</v>
      </c>
      <c r="N482" s="519">
        <f>N475*3%</f>
        <v>2505</v>
      </c>
      <c r="O482" s="11">
        <f t="shared" si="30"/>
        <v>2555.1</v>
      </c>
      <c r="P482" s="18">
        <f t="shared" si="31"/>
        <v>2605.2</v>
      </c>
    </row>
    <row r="483" spans="1:16" ht="15">
      <c r="A483" s="106"/>
      <c r="B483" s="107"/>
      <c r="C483" s="96"/>
      <c r="D483" s="96"/>
      <c r="E483" s="96">
        <v>625</v>
      </c>
      <c r="F483" s="108" t="s">
        <v>19</v>
      </c>
      <c r="G483" s="10"/>
      <c r="H483" s="10" t="s">
        <v>20</v>
      </c>
      <c r="I483" s="10"/>
      <c r="J483" s="10"/>
      <c r="K483" s="10"/>
      <c r="L483" s="56">
        <v>58.22</v>
      </c>
      <c r="M483" s="56">
        <v>58.22</v>
      </c>
      <c r="N483" s="539">
        <f>N475*1%</f>
        <v>835</v>
      </c>
      <c r="O483" s="11">
        <f t="shared" si="30"/>
        <v>851.7</v>
      </c>
      <c r="P483" s="18">
        <f t="shared" si="31"/>
        <v>868.4</v>
      </c>
    </row>
    <row r="484" spans="1:17" ht="15">
      <c r="A484" s="132"/>
      <c r="B484" s="7"/>
      <c r="C484" s="55"/>
      <c r="D484" s="55"/>
      <c r="E484" s="55">
        <v>625</v>
      </c>
      <c r="F484" s="8" t="s">
        <v>21</v>
      </c>
      <c r="G484" s="9"/>
      <c r="H484" s="9" t="s">
        <v>22</v>
      </c>
      <c r="I484" s="9"/>
      <c r="J484" s="9"/>
      <c r="K484" s="9"/>
      <c r="L484" s="46">
        <v>276.56</v>
      </c>
      <c r="M484" s="46">
        <v>276.56</v>
      </c>
      <c r="N484" s="519">
        <v>3966</v>
      </c>
      <c r="O484" s="11">
        <f t="shared" si="30"/>
        <v>4045.32</v>
      </c>
      <c r="P484" s="18">
        <f t="shared" si="31"/>
        <v>4124.64</v>
      </c>
      <c r="Q484" s="78"/>
    </row>
    <row r="485" spans="1:16" ht="15">
      <c r="A485" s="106"/>
      <c r="B485" s="107"/>
      <c r="C485" s="96"/>
      <c r="D485" s="96"/>
      <c r="E485" s="96">
        <v>632</v>
      </c>
      <c r="F485" s="108" t="s">
        <v>10</v>
      </c>
      <c r="G485" s="10">
        <v>1</v>
      </c>
      <c r="H485" s="10" t="s">
        <v>211</v>
      </c>
      <c r="I485" s="10"/>
      <c r="J485" s="10"/>
      <c r="K485" s="10"/>
      <c r="L485" s="56">
        <v>0</v>
      </c>
      <c r="M485" s="56">
        <v>0</v>
      </c>
      <c r="N485" s="539">
        <v>0</v>
      </c>
      <c r="O485" s="11">
        <f t="shared" si="30"/>
        <v>0</v>
      </c>
      <c r="P485" s="18">
        <f t="shared" si="31"/>
        <v>0</v>
      </c>
    </row>
    <row r="486" spans="1:16" ht="15">
      <c r="A486" s="132"/>
      <c r="B486" s="7"/>
      <c r="C486" s="55"/>
      <c r="D486" s="55"/>
      <c r="E486" s="55">
        <v>632</v>
      </c>
      <c r="F486" s="8" t="s">
        <v>10</v>
      </c>
      <c r="G486" s="9">
        <v>2</v>
      </c>
      <c r="H486" s="9" t="s">
        <v>212</v>
      </c>
      <c r="I486" s="9"/>
      <c r="J486" s="9"/>
      <c r="K486" s="9"/>
      <c r="L486" s="46">
        <v>0</v>
      </c>
      <c r="M486" s="46">
        <v>0</v>
      </c>
      <c r="N486" s="519">
        <v>0</v>
      </c>
      <c r="O486" s="11">
        <f t="shared" si="30"/>
        <v>0</v>
      </c>
      <c r="P486" s="18">
        <f t="shared" si="31"/>
        <v>0</v>
      </c>
    </row>
    <row r="487" spans="1:16" ht="15">
      <c r="A487" s="106"/>
      <c r="B487" s="107"/>
      <c r="C487" s="96"/>
      <c r="D487" s="96"/>
      <c r="E487" s="96">
        <v>632</v>
      </c>
      <c r="F487" s="108" t="s">
        <v>11</v>
      </c>
      <c r="G487" s="10"/>
      <c r="H487" s="10" t="s">
        <v>213</v>
      </c>
      <c r="I487" s="10"/>
      <c r="J487" s="10"/>
      <c r="K487" s="10"/>
      <c r="L487" s="56">
        <v>0</v>
      </c>
      <c r="M487" s="56">
        <v>0</v>
      </c>
      <c r="N487" s="539">
        <v>0</v>
      </c>
      <c r="O487" s="11">
        <f t="shared" si="30"/>
        <v>0</v>
      </c>
      <c r="P487" s="18">
        <f t="shared" si="31"/>
        <v>0</v>
      </c>
    </row>
    <row r="488" spans="1:16" ht="15">
      <c r="A488" s="132"/>
      <c r="B488" s="7"/>
      <c r="C488" s="55"/>
      <c r="D488" s="55"/>
      <c r="E488" s="55">
        <v>632</v>
      </c>
      <c r="F488" s="8" t="s">
        <v>12</v>
      </c>
      <c r="G488" s="9"/>
      <c r="H488" s="9" t="s">
        <v>214</v>
      </c>
      <c r="I488" s="9"/>
      <c r="J488" s="9"/>
      <c r="K488" s="9"/>
      <c r="L488" s="46">
        <v>0</v>
      </c>
      <c r="M488" s="46">
        <v>0</v>
      </c>
      <c r="N488" s="519">
        <v>0</v>
      </c>
      <c r="O488" s="11">
        <f t="shared" si="30"/>
        <v>0</v>
      </c>
      <c r="P488" s="18">
        <f t="shared" si="31"/>
        <v>0</v>
      </c>
    </row>
    <row r="489" spans="1:16" ht="15">
      <c r="A489" s="6">
        <v>14</v>
      </c>
      <c r="B489" s="3">
        <v>2</v>
      </c>
      <c r="C489" s="523">
        <v>1</v>
      </c>
      <c r="D489" s="523">
        <v>111</v>
      </c>
      <c r="E489" s="523"/>
      <c r="F489" s="4"/>
      <c r="G489" s="5"/>
      <c r="H489" s="5" t="s">
        <v>216</v>
      </c>
      <c r="I489" s="5"/>
      <c r="J489" s="5"/>
      <c r="K489" s="5"/>
      <c r="L489" s="73">
        <f>SUM(L475:L488)</f>
        <v>7857.18</v>
      </c>
      <c r="M489" s="73">
        <f>SUM(M475:M488)</f>
        <v>7857.18</v>
      </c>
      <c r="N489" s="520">
        <f>SUM(N475:N488)</f>
        <v>109433</v>
      </c>
      <c r="O489" s="14">
        <f t="shared" si="30"/>
        <v>111621.66</v>
      </c>
      <c r="P489" s="133">
        <f t="shared" si="31"/>
        <v>113810.32</v>
      </c>
    </row>
    <row r="490" spans="1:16" ht="15">
      <c r="A490" s="6"/>
      <c r="B490" s="3"/>
      <c r="C490" s="523"/>
      <c r="D490" s="523"/>
      <c r="E490" s="523"/>
      <c r="F490" s="4"/>
      <c r="G490" s="5"/>
      <c r="H490" s="5"/>
      <c r="I490" s="5"/>
      <c r="J490" s="5"/>
      <c r="K490" s="5"/>
      <c r="L490" s="73"/>
      <c r="M490" s="73"/>
      <c r="N490" s="520">
        <v>0</v>
      </c>
      <c r="O490" s="14"/>
      <c r="P490" s="133"/>
    </row>
    <row r="491" spans="1:16" ht="15">
      <c r="A491" s="19"/>
      <c r="B491" s="524"/>
      <c r="C491" s="521"/>
      <c r="D491" s="521">
        <v>111</v>
      </c>
      <c r="E491" s="521"/>
      <c r="F491" s="20"/>
      <c r="G491" s="21"/>
      <c r="H491" s="21" t="s">
        <v>439</v>
      </c>
      <c r="I491" s="21"/>
      <c r="J491" s="21"/>
      <c r="K491" s="21"/>
      <c r="L491" s="91">
        <f>L489</f>
        <v>7857.18</v>
      </c>
      <c r="M491" s="91">
        <f>M489</f>
        <v>7857.18</v>
      </c>
      <c r="N491" s="540">
        <f>N489+N490</f>
        <v>109433</v>
      </c>
      <c r="O491" s="29">
        <f>O489+O490</f>
        <v>111621.66</v>
      </c>
      <c r="P491" s="133">
        <f>P489+P490</f>
        <v>113810.32</v>
      </c>
    </row>
    <row r="492" spans="1:17" ht="15">
      <c r="A492" s="6">
        <v>14</v>
      </c>
      <c r="B492" s="3">
        <v>2</v>
      </c>
      <c r="C492" s="523" t="s">
        <v>25</v>
      </c>
      <c r="D492" s="523"/>
      <c r="E492" s="523"/>
      <c r="F492" s="4"/>
      <c r="G492" s="4" t="s">
        <v>209</v>
      </c>
      <c r="H492" s="5"/>
      <c r="I492" s="5"/>
      <c r="J492" s="5"/>
      <c r="K492" s="5"/>
      <c r="L492" s="73"/>
      <c r="M492" s="73"/>
      <c r="N492" s="519"/>
      <c r="O492" s="361">
        <f t="shared" si="30"/>
        <v>0</v>
      </c>
      <c r="P492" s="362">
        <f t="shared" si="31"/>
        <v>0</v>
      </c>
      <c r="Q492" s="76"/>
    </row>
    <row r="493" spans="1:19" ht="15">
      <c r="A493" s="106">
        <v>14</v>
      </c>
      <c r="B493" s="107">
        <v>2</v>
      </c>
      <c r="C493" s="96">
        <v>1</v>
      </c>
      <c r="D493" s="96">
        <v>41</v>
      </c>
      <c r="E493" s="96">
        <v>611</v>
      </c>
      <c r="F493" s="108"/>
      <c r="G493" s="10"/>
      <c r="H493" s="10" t="s">
        <v>8</v>
      </c>
      <c r="I493" s="10"/>
      <c r="J493" s="10"/>
      <c r="K493" s="10"/>
      <c r="L493" s="56">
        <v>16000</v>
      </c>
      <c r="M493" s="56">
        <v>9233.29</v>
      </c>
      <c r="N493" s="539">
        <v>8000</v>
      </c>
      <c r="O493" s="11">
        <f t="shared" si="30"/>
        <v>8160</v>
      </c>
      <c r="P493" s="18">
        <f t="shared" si="31"/>
        <v>8320</v>
      </c>
      <c r="S493" s="513"/>
    </row>
    <row r="494" spans="1:16" ht="15">
      <c r="A494" s="132"/>
      <c r="B494" s="7"/>
      <c r="C494" s="55"/>
      <c r="D494" s="55"/>
      <c r="E494" s="55">
        <v>614</v>
      </c>
      <c r="F494" s="8"/>
      <c r="G494" s="9"/>
      <c r="H494" s="9" t="s">
        <v>9</v>
      </c>
      <c r="I494" s="9"/>
      <c r="J494" s="9"/>
      <c r="K494" s="9"/>
      <c r="L494" s="46">
        <v>5000</v>
      </c>
      <c r="M494" s="46">
        <v>5000</v>
      </c>
      <c r="N494" s="519">
        <v>9000</v>
      </c>
      <c r="O494" s="11">
        <f t="shared" si="30"/>
        <v>9180</v>
      </c>
      <c r="P494" s="18">
        <f t="shared" si="31"/>
        <v>9360</v>
      </c>
    </row>
    <row r="495" spans="1:17" ht="15">
      <c r="A495" s="106"/>
      <c r="B495" s="107"/>
      <c r="C495" s="96"/>
      <c r="D495" s="96"/>
      <c r="E495" s="96">
        <v>621</v>
      </c>
      <c r="F495" s="108"/>
      <c r="G495" s="10"/>
      <c r="H495" s="10" t="s">
        <v>71</v>
      </c>
      <c r="I495" s="10"/>
      <c r="J495" s="10"/>
      <c r="K495" s="10"/>
      <c r="L495" s="56">
        <v>1750</v>
      </c>
      <c r="M495" s="56">
        <v>39.8</v>
      </c>
      <c r="N495" s="539">
        <v>1750</v>
      </c>
      <c r="O495" s="11">
        <f t="shared" si="30"/>
        <v>1785</v>
      </c>
      <c r="P495" s="18">
        <f t="shared" si="31"/>
        <v>1820</v>
      </c>
      <c r="Q495" s="78"/>
    </row>
    <row r="496" spans="1:18" ht="15">
      <c r="A496" s="132"/>
      <c r="B496" s="7"/>
      <c r="C496" s="55"/>
      <c r="D496" s="55"/>
      <c r="E496" s="55">
        <v>623</v>
      </c>
      <c r="F496" s="8"/>
      <c r="G496" s="9"/>
      <c r="H496" s="9" t="s">
        <v>210</v>
      </c>
      <c r="I496" s="9"/>
      <c r="J496" s="9"/>
      <c r="K496" s="9"/>
      <c r="L496" s="46">
        <v>750</v>
      </c>
      <c r="M496" s="46">
        <v>554.23</v>
      </c>
      <c r="N496" s="519">
        <v>1750</v>
      </c>
      <c r="O496" s="11">
        <f t="shared" si="30"/>
        <v>1785</v>
      </c>
      <c r="P496" s="18">
        <f t="shared" si="31"/>
        <v>1820</v>
      </c>
      <c r="R496" s="24" t="s">
        <v>702</v>
      </c>
    </row>
    <row r="497" spans="1:16" ht="15">
      <c r="A497" s="157"/>
      <c r="B497" s="158"/>
      <c r="C497" s="118"/>
      <c r="D497" s="118"/>
      <c r="E497" s="118">
        <v>625</v>
      </c>
      <c r="F497" s="159" t="s">
        <v>10</v>
      </c>
      <c r="G497" s="117"/>
      <c r="H497" s="117" t="s">
        <v>15</v>
      </c>
      <c r="I497" s="117"/>
      <c r="J497" s="117"/>
      <c r="K497" s="117"/>
      <c r="L497" s="86">
        <v>490</v>
      </c>
      <c r="M497" s="86">
        <v>182.12</v>
      </c>
      <c r="N497" s="683">
        <f>(N493+N494)*1.4%</f>
        <v>237.99999999999997</v>
      </c>
      <c r="O497" s="11">
        <f t="shared" si="30"/>
        <v>242.75999999999996</v>
      </c>
      <c r="P497" s="18">
        <f t="shared" si="31"/>
        <v>247.51999999999998</v>
      </c>
    </row>
    <row r="498" spans="1:16" ht="15">
      <c r="A498" s="106"/>
      <c r="B498" s="107"/>
      <c r="C498" s="96"/>
      <c r="D498" s="96"/>
      <c r="E498" s="96">
        <v>625</v>
      </c>
      <c r="F498" s="108" t="s">
        <v>11</v>
      </c>
      <c r="G498" s="10"/>
      <c r="H498" s="10" t="s">
        <v>16</v>
      </c>
      <c r="I498" s="10"/>
      <c r="J498" s="10"/>
      <c r="K498" s="10"/>
      <c r="L498" s="56">
        <v>1900</v>
      </c>
      <c r="M498" s="56">
        <v>1861.73</v>
      </c>
      <c r="N498" s="539">
        <f>(N493+N494)*14%</f>
        <v>2380</v>
      </c>
      <c r="O498" s="11">
        <f t="shared" si="30"/>
        <v>2427.6</v>
      </c>
      <c r="P498" s="18">
        <f t="shared" si="31"/>
        <v>2475.2</v>
      </c>
    </row>
    <row r="499" spans="1:16" ht="15">
      <c r="A499" s="132"/>
      <c r="B499" s="7"/>
      <c r="C499" s="55"/>
      <c r="D499" s="55"/>
      <c r="E499" s="55">
        <v>625</v>
      </c>
      <c r="F499" s="8" t="s">
        <v>12</v>
      </c>
      <c r="G499" s="9"/>
      <c r="H499" s="9" t="s">
        <v>17</v>
      </c>
      <c r="I499" s="9"/>
      <c r="J499" s="9"/>
      <c r="K499" s="9"/>
      <c r="L499" s="46">
        <v>280</v>
      </c>
      <c r="M499" s="46">
        <v>116.88</v>
      </c>
      <c r="N499" s="519">
        <f>(N493+N494)*0.8%</f>
        <v>136</v>
      </c>
      <c r="O499" s="11">
        <f t="shared" si="30"/>
        <v>138.72</v>
      </c>
      <c r="P499" s="18">
        <f t="shared" si="31"/>
        <v>141.44</v>
      </c>
    </row>
    <row r="500" spans="1:16" ht="15">
      <c r="A500" s="106"/>
      <c r="B500" s="107"/>
      <c r="C500" s="96"/>
      <c r="D500" s="96"/>
      <c r="E500" s="96">
        <v>625</v>
      </c>
      <c r="F500" s="108" t="s">
        <v>13</v>
      </c>
      <c r="G500" s="10"/>
      <c r="H500" s="10" t="s">
        <v>18</v>
      </c>
      <c r="I500" s="10"/>
      <c r="J500" s="10"/>
      <c r="K500" s="10"/>
      <c r="L500" s="56">
        <v>1050</v>
      </c>
      <c r="M500" s="56">
        <v>398.64</v>
      </c>
      <c r="N500" s="539">
        <f>(N493+N494)*3%</f>
        <v>510</v>
      </c>
      <c r="O500" s="11">
        <f t="shared" si="30"/>
        <v>520.2</v>
      </c>
      <c r="P500" s="18">
        <f t="shared" si="31"/>
        <v>530.4</v>
      </c>
    </row>
    <row r="501" spans="1:16" ht="15">
      <c r="A501" s="132"/>
      <c r="B501" s="7"/>
      <c r="C501" s="55"/>
      <c r="D501" s="55"/>
      <c r="E501" s="55">
        <v>625</v>
      </c>
      <c r="F501" s="8" t="s">
        <v>19</v>
      </c>
      <c r="G501" s="9"/>
      <c r="H501" s="9" t="s">
        <v>20</v>
      </c>
      <c r="I501" s="9"/>
      <c r="J501" s="9"/>
      <c r="K501" s="9"/>
      <c r="L501" s="46">
        <v>350</v>
      </c>
      <c r="M501" s="46">
        <v>132.59</v>
      </c>
      <c r="N501" s="519">
        <f>(N493+N494)*1%</f>
        <v>170</v>
      </c>
      <c r="O501" s="11">
        <f t="shared" si="30"/>
        <v>173.4</v>
      </c>
      <c r="P501" s="18">
        <f t="shared" si="31"/>
        <v>176.8</v>
      </c>
    </row>
    <row r="502" spans="1:17" ht="15">
      <c r="A502" s="106"/>
      <c r="B502" s="107"/>
      <c r="C502" s="96"/>
      <c r="D502" s="96"/>
      <c r="E502" s="96">
        <v>625</v>
      </c>
      <c r="F502" s="108" t="s">
        <v>21</v>
      </c>
      <c r="G502" s="10"/>
      <c r="H502" s="10" t="s">
        <v>22</v>
      </c>
      <c r="I502" s="10"/>
      <c r="J502" s="10"/>
      <c r="K502" s="10"/>
      <c r="L502" s="56">
        <v>662</v>
      </c>
      <c r="M502" s="56">
        <v>631.22</v>
      </c>
      <c r="N502" s="539">
        <v>1663</v>
      </c>
      <c r="O502" s="11">
        <f t="shared" si="30"/>
        <v>1696.26</v>
      </c>
      <c r="P502" s="18">
        <f t="shared" si="31"/>
        <v>1729.52</v>
      </c>
      <c r="Q502" s="78"/>
    </row>
    <row r="503" spans="1:17" ht="15">
      <c r="A503" s="132"/>
      <c r="B503" s="7"/>
      <c r="C503" s="55"/>
      <c r="D503" s="55"/>
      <c r="E503" s="55">
        <v>631</v>
      </c>
      <c r="F503" s="8" t="s">
        <v>10</v>
      </c>
      <c r="G503" s="9"/>
      <c r="H503" s="9" t="s">
        <v>600</v>
      </c>
      <c r="I503" s="9"/>
      <c r="J503" s="9"/>
      <c r="K503" s="9"/>
      <c r="L503" s="46">
        <v>50</v>
      </c>
      <c r="M503" s="46">
        <v>17.93</v>
      </c>
      <c r="N503" s="519">
        <f>(N495+N496)*1%</f>
        <v>35</v>
      </c>
      <c r="O503" s="11">
        <f>N503+N503*$O$463</f>
        <v>35.7</v>
      </c>
      <c r="P503" s="18">
        <f>N503+N503*$P$463</f>
        <v>36.4</v>
      </c>
      <c r="Q503" s="78"/>
    </row>
    <row r="504" spans="1:16" ht="15">
      <c r="A504" s="132"/>
      <c r="B504" s="7"/>
      <c r="C504" s="55"/>
      <c r="D504" s="55"/>
      <c r="E504" s="55">
        <v>632</v>
      </c>
      <c r="F504" s="8" t="s">
        <v>10</v>
      </c>
      <c r="G504" s="9">
        <v>1</v>
      </c>
      <c r="H504" s="9" t="s">
        <v>211</v>
      </c>
      <c r="I504" s="9"/>
      <c r="J504" s="9"/>
      <c r="K504" s="9"/>
      <c r="L504" s="46">
        <v>1000</v>
      </c>
      <c r="M504" s="46">
        <v>1095.7</v>
      </c>
      <c r="N504" s="519">
        <v>3180</v>
      </c>
      <c r="O504" s="11">
        <f t="shared" si="30"/>
        <v>3243.6</v>
      </c>
      <c r="P504" s="18">
        <f t="shared" si="31"/>
        <v>3307.2</v>
      </c>
    </row>
    <row r="505" spans="1:16" ht="15">
      <c r="A505" s="106"/>
      <c r="B505" s="107"/>
      <c r="C505" s="96"/>
      <c r="D505" s="96"/>
      <c r="E505" s="96">
        <v>632</v>
      </c>
      <c r="F505" s="108" t="s">
        <v>10</v>
      </c>
      <c r="G505" s="10">
        <v>2</v>
      </c>
      <c r="H505" s="10" t="s">
        <v>212</v>
      </c>
      <c r="I505" s="10"/>
      <c r="J505" s="10"/>
      <c r="K505" s="10"/>
      <c r="L505" s="56">
        <v>4000</v>
      </c>
      <c r="M505" s="56">
        <v>4863.89</v>
      </c>
      <c r="N505" s="539">
        <v>9589</v>
      </c>
      <c r="O505" s="11">
        <f t="shared" si="30"/>
        <v>9780.78</v>
      </c>
      <c r="P505" s="18">
        <f t="shared" si="31"/>
        <v>9972.56</v>
      </c>
    </row>
    <row r="506" spans="1:16" ht="15">
      <c r="A506" s="132"/>
      <c r="B506" s="7"/>
      <c r="C506" s="55"/>
      <c r="D506" s="55"/>
      <c r="E506" s="55">
        <v>632</v>
      </c>
      <c r="F506" s="8" t="s">
        <v>11</v>
      </c>
      <c r="G506" s="9"/>
      <c r="H506" s="9" t="s">
        <v>213</v>
      </c>
      <c r="I506" s="9"/>
      <c r="J506" s="9"/>
      <c r="K506" s="9"/>
      <c r="L506" s="46">
        <v>250</v>
      </c>
      <c r="M506" s="46">
        <v>187.63</v>
      </c>
      <c r="N506" s="519">
        <v>1500</v>
      </c>
      <c r="O506" s="11">
        <f t="shared" si="30"/>
        <v>1530</v>
      </c>
      <c r="P506" s="18">
        <f t="shared" si="31"/>
        <v>1560</v>
      </c>
    </row>
    <row r="507" spans="1:16" ht="15">
      <c r="A507" s="106"/>
      <c r="B507" s="107"/>
      <c r="C507" s="96"/>
      <c r="D507" s="96"/>
      <c r="E507" s="96">
        <v>632</v>
      </c>
      <c r="F507" s="108" t="s">
        <v>12</v>
      </c>
      <c r="G507" s="10"/>
      <c r="H507" s="10" t="s">
        <v>214</v>
      </c>
      <c r="I507" s="10"/>
      <c r="J507" s="10"/>
      <c r="K507" s="10"/>
      <c r="L507" s="56">
        <v>1753.87</v>
      </c>
      <c r="M507" s="56">
        <v>756.78</v>
      </c>
      <c r="N507" s="539">
        <v>11000</v>
      </c>
      <c r="O507" s="11">
        <f t="shared" si="30"/>
        <v>11220</v>
      </c>
      <c r="P507" s="18">
        <f t="shared" si="31"/>
        <v>11440</v>
      </c>
    </row>
    <row r="508" spans="1:16" ht="15">
      <c r="A508" s="132"/>
      <c r="B508" s="7"/>
      <c r="C508" s="55"/>
      <c r="D508" s="55"/>
      <c r="E508" s="55">
        <v>633</v>
      </c>
      <c r="F508" s="8" t="s">
        <v>29</v>
      </c>
      <c r="G508" s="9"/>
      <c r="H508" s="9" t="s">
        <v>66</v>
      </c>
      <c r="I508" s="9"/>
      <c r="J508" s="9"/>
      <c r="K508" s="9"/>
      <c r="L508" s="46">
        <v>1000</v>
      </c>
      <c r="M508" s="46">
        <v>3132.73</v>
      </c>
      <c r="N508" s="519">
        <v>1000</v>
      </c>
      <c r="O508" s="11">
        <f t="shared" si="30"/>
        <v>1020</v>
      </c>
      <c r="P508" s="18">
        <f t="shared" si="31"/>
        <v>1040</v>
      </c>
    </row>
    <row r="509" spans="1:16" ht="15">
      <c r="A509" s="106"/>
      <c r="B509" s="107"/>
      <c r="C509" s="96"/>
      <c r="D509" s="96"/>
      <c r="E509" s="96">
        <v>633</v>
      </c>
      <c r="F509" s="108" t="s">
        <v>143</v>
      </c>
      <c r="G509" s="10"/>
      <c r="H509" s="10" t="s">
        <v>217</v>
      </c>
      <c r="I509" s="10"/>
      <c r="J509" s="10"/>
      <c r="K509" s="10"/>
      <c r="L509" s="56">
        <v>100</v>
      </c>
      <c r="M509" s="56">
        <v>8</v>
      </c>
      <c r="N509" s="539">
        <v>100</v>
      </c>
      <c r="O509" s="11">
        <f t="shared" si="30"/>
        <v>102</v>
      </c>
      <c r="P509" s="18">
        <f t="shared" si="31"/>
        <v>104</v>
      </c>
    </row>
    <row r="510" spans="1:16" ht="15">
      <c r="A510" s="132"/>
      <c r="B510" s="7"/>
      <c r="C510" s="55"/>
      <c r="D510" s="55"/>
      <c r="E510" s="55">
        <v>633</v>
      </c>
      <c r="F510" s="8" t="s">
        <v>109</v>
      </c>
      <c r="G510" s="9"/>
      <c r="H510" s="9" t="s">
        <v>218</v>
      </c>
      <c r="I510" s="9"/>
      <c r="J510" s="9"/>
      <c r="K510" s="9"/>
      <c r="L510" s="46">
        <v>400</v>
      </c>
      <c r="M510" s="46">
        <v>296.19</v>
      </c>
      <c r="N510" s="519">
        <v>400</v>
      </c>
      <c r="O510" s="11">
        <f t="shared" si="30"/>
        <v>408</v>
      </c>
      <c r="P510" s="18">
        <f t="shared" si="31"/>
        <v>416</v>
      </c>
    </row>
    <row r="511" spans="1:16" ht="15">
      <c r="A511" s="132"/>
      <c r="B511" s="7"/>
      <c r="C511" s="55"/>
      <c r="D511" s="55"/>
      <c r="E511" s="55">
        <v>633</v>
      </c>
      <c r="F511" s="8" t="s">
        <v>172</v>
      </c>
      <c r="G511" s="9"/>
      <c r="H511" s="9" t="s">
        <v>601</v>
      </c>
      <c r="I511" s="9"/>
      <c r="J511" s="9"/>
      <c r="K511" s="9"/>
      <c r="L511" s="46">
        <v>50</v>
      </c>
      <c r="M511" s="46">
        <v>45.5</v>
      </c>
      <c r="N511" s="519">
        <v>100</v>
      </c>
      <c r="O511" s="11">
        <f>N511+N511*$O$463</f>
        <v>102</v>
      </c>
      <c r="P511" s="18">
        <f>N511+N511*$P$463</f>
        <v>104</v>
      </c>
    </row>
    <row r="512" spans="1:16" ht="15">
      <c r="A512" s="106"/>
      <c r="B512" s="107"/>
      <c r="C512" s="96"/>
      <c r="D512" s="96"/>
      <c r="E512" s="96">
        <v>635</v>
      </c>
      <c r="F512" s="108" t="s">
        <v>29</v>
      </c>
      <c r="G512" s="10"/>
      <c r="H512" s="10" t="s">
        <v>219</v>
      </c>
      <c r="I512" s="10"/>
      <c r="J512" s="10"/>
      <c r="K512" s="10"/>
      <c r="L512" s="56">
        <v>1000</v>
      </c>
      <c r="M512" s="56">
        <v>12.8</v>
      </c>
      <c r="N512" s="539">
        <v>1000</v>
      </c>
      <c r="O512" s="12">
        <f t="shared" si="30"/>
        <v>1020</v>
      </c>
      <c r="P512" s="22">
        <f t="shared" si="31"/>
        <v>1040</v>
      </c>
    </row>
    <row r="513" spans="1:16" ht="15">
      <c r="A513" s="132"/>
      <c r="B513" s="7"/>
      <c r="C513" s="55"/>
      <c r="D513" s="55"/>
      <c r="E513" s="55">
        <v>637</v>
      </c>
      <c r="F513" s="8" t="s">
        <v>10</v>
      </c>
      <c r="G513" s="9"/>
      <c r="H513" s="9" t="s">
        <v>220</v>
      </c>
      <c r="I513" s="9"/>
      <c r="J513" s="9"/>
      <c r="K513" s="9"/>
      <c r="L513" s="46">
        <v>300</v>
      </c>
      <c r="M513" s="46">
        <v>123</v>
      </c>
      <c r="N513" s="519">
        <v>300</v>
      </c>
      <c r="O513" s="11">
        <f t="shared" si="30"/>
        <v>306</v>
      </c>
      <c r="P513" s="18">
        <f t="shared" si="31"/>
        <v>312</v>
      </c>
    </row>
    <row r="514" spans="1:16" ht="15">
      <c r="A514" s="106"/>
      <c r="B514" s="107"/>
      <c r="C514" s="96"/>
      <c r="D514" s="96"/>
      <c r="E514" s="96">
        <v>637</v>
      </c>
      <c r="F514" s="108" t="s">
        <v>13</v>
      </c>
      <c r="G514" s="10"/>
      <c r="H514" s="10" t="s">
        <v>34</v>
      </c>
      <c r="I514" s="10"/>
      <c r="J514" s="10"/>
      <c r="K514" s="10"/>
      <c r="L514" s="56">
        <v>2000</v>
      </c>
      <c r="M514" s="56">
        <v>537.05</v>
      </c>
      <c r="N514" s="539">
        <v>2000</v>
      </c>
      <c r="O514" s="11">
        <f t="shared" si="30"/>
        <v>2040</v>
      </c>
      <c r="P514" s="18">
        <f t="shared" si="31"/>
        <v>2080</v>
      </c>
    </row>
    <row r="515" spans="1:16" ht="15">
      <c r="A515" s="132"/>
      <c r="B515" s="7"/>
      <c r="C515" s="55"/>
      <c r="D515" s="55"/>
      <c r="E515" s="55">
        <v>637</v>
      </c>
      <c r="F515" s="8" t="s">
        <v>67</v>
      </c>
      <c r="G515" s="9"/>
      <c r="H515" s="9" t="s">
        <v>221</v>
      </c>
      <c r="I515" s="9"/>
      <c r="J515" s="9"/>
      <c r="K515" s="9"/>
      <c r="L515" s="46">
        <v>45000</v>
      </c>
      <c r="M515" s="46">
        <v>35172.33</v>
      </c>
      <c r="N515" s="519">
        <v>40000</v>
      </c>
      <c r="O515" s="11">
        <f t="shared" si="30"/>
        <v>40800</v>
      </c>
      <c r="P515" s="18">
        <f t="shared" si="31"/>
        <v>41600</v>
      </c>
    </row>
    <row r="516" spans="1:16" ht="15">
      <c r="A516" s="106"/>
      <c r="B516" s="107"/>
      <c r="C516" s="96"/>
      <c r="D516" s="96"/>
      <c r="E516" s="96">
        <v>637</v>
      </c>
      <c r="F516" s="108" t="s">
        <v>76</v>
      </c>
      <c r="G516" s="10"/>
      <c r="H516" s="10" t="s">
        <v>194</v>
      </c>
      <c r="I516" s="10"/>
      <c r="J516" s="10"/>
      <c r="K516" s="10"/>
      <c r="L516" s="56">
        <v>725</v>
      </c>
      <c r="M516" s="56">
        <v>0</v>
      </c>
      <c r="N516" s="539">
        <v>725</v>
      </c>
      <c r="O516" s="11">
        <f t="shared" si="30"/>
        <v>739.5</v>
      </c>
      <c r="P516" s="18">
        <f t="shared" si="31"/>
        <v>754</v>
      </c>
    </row>
    <row r="517" spans="1:16" ht="15">
      <c r="A517" s="132"/>
      <c r="B517" s="7"/>
      <c r="C517" s="55"/>
      <c r="D517" s="55"/>
      <c r="E517" s="55">
        <v>637</v>
      </c>
      <c r="F517" s="8" t="s">
        <v>57</v>
      </c>
      <c r="G517" s="9"/>
      <c r="H517" s="9" t="s">
        <v>226</v>
      </c>
      <c r="I517" s="9"/>
      <c r="J517" s="9"/>
      <c r="K517" s="9"/>
      <c r="L517" s="46">
        <v>1330</v>
      </c>
      <c r="M517" s="46">
        <v>767.02</v>
      </c>
      <c r="N517" s="519">
        <v>1330</v>
      </c>
      <c r="O517" s="11">
        <f t="shared" si="30"/>
        <v>1356.6</v>
      </c>
      <c r="P517" s="18">
        <f t="shared" si="31"/>
        <v>1383.2</v>
      </c>
    </row>
    <row r="518" spans="1:20" ht="15">
      <c r="A518" s="106"/>
      <c r="B518" s="107"/>
      <c r="C518" s="96"/>
      <c r="D518" s="96"/>
      <c r="E518" s="96">
        <v>642</v>
      </c>
      <c r="F518" s="108" t="s">
        <v>76</v>
      </c>
      <c r="G518" s="10"/>
      <c r="H518" s="10" t="s">
        <v>222</v>
      </c>
      <c r="I518" s="10"/>
      <c r="J518" s="10"/>
      <c r="K518" s="10"/>
      <c r="L518" s="56">
        <v>600</v>
      </c>
      <c r="M518" s="56">
        <v>337.8</v>
      </c>
      <c r="N518" s="539">
        <v>600</v>
      </c>
      <c r="O518" s="11">
        <f t="shared" si="30"/>
        <v>612</v>
      </c>
      <c r="P518" s="18">
        <f t="shared" si="31"/>
        <v>624</v>
      </c>
      <c r="R518" s="676"/>
      <c r="T518" s="512"/>
    </row>
    <row r="519" spans="1:18" ht="15">
      <c r="A519" s="363">
        <v>14</v>
      </c>
      <c r="B519" s="364">
        <v>2</v>
      </c>
      <c r="C519" s="365">
        <v>1</v>
      </c>
      <c r="D519" s="365">
        <v>41</v>
      </c>
      <c r="E519" s="365"/>
      <c r="F519" s="366"/>
      <c r="G519" s="367"/>
      <c r="H519" s="367" t="s">
        <v>223</v>
      </c>
      <c r="I519" s="367"/>
      <c r="J519" s="367"/>
      <c r="K519" s="367"/>
      <c r="L519" s="447">
        <f>SUM(L493:L518)</f>
        <v>87790.87</v>
      </c>
      <c r="M519" s="447">
        <f>SUM(M493:M518)</f>
        <v>65504.85</v>
      </c>
      <c r="N519" s="694">
        <f>SUM(N493:N518)</f>
        <v>98456</v>
      </c>
      <c r="O519" s="14">
        <f t="shared" si="30"/>
        <v>100425.12</v>
      </c>
      <c r="P519" s="133">
        <f t="shared" si="31"/>
        <v>102394.24</v>
      </c>
      <c r="R519" s="700"/>
    </row>
    <row r="520" spans="1:16" ht="15">
      <c r="A520" s="363">
        <v>14</v>
      </c>
      <c r="B520" s="364">
        <v>2</v>
      </c>
      <c r="C520" s="365">
        <v>2</v>
      </c>
      <c r="D520" s="365">
        <v>41</v>
      </c>
      <c r="E520" s="365">
        <v>717</v>
      </c>
      <c r="F520" s="366" t="s">
        <v>10</v>
      </c>
      <c r="G520" s="367"/>
      <c r="H520" s="367" t="s">
        <v>477</v>
      </c>
      <c r="I520" s="367"/>
      <c r="J520" s="367"/>
      <c r="K520" s="367"/>
      <c r="L520" s="447">
        <v>1500</v>
      </c>
      <c r="M520" s="447">
        <v>1320.43</v>
      </c>
      <c r="N520" s="694">
        <v>0</v>
      </c>
      <c r="O520" s="14"/>
      <c r="P520" s="133"/>
    </row>
    <row r="521" spans="1:16" ht="15">
      <c r="A521" s="363">
        <v>14</v>
      </c>
      <c r="B521" s="364">
        <v>2</v>
      </c>
      <c r="C521" s="365"/>
      <c r="D521" s="365">
        <v>41</v>
      </c>
      <c r="E521" s="365"/>
      <c r="F521" s="366"/>
      <c r="G521" s="367"/>
      <c r="H521" s="367" t="s">
        <v>440</v>
      </c>
      <c r="I521" s="367"/>
      <c r="J521" s="367"/>
      <c r="K521" s="367"/>
      <c r="L521" s="447">
        <f>L519+L520</f>
        <v>89290.87</v>
      </c>
      <c r="M521" s="447">
        <f>M519+M520</f>
        <v>66825.28</v>
      </c>
      <c r="N521" s="694">
        <f>N519+N520</f>
        <v>98456</v>
      </c>
      <c r="O521" s="368">
        <f>O519+O520</f>
        <v>100425.12</v>
      </c>
      <c r="P521" s="133">
        <f>P519+P520</f>
        <v>102394.24</v>
      </c>
    </row>
    <row r="522" spans="1:17" ht="15">
      <c r="A522" s="19">
        <v>14</v>
      </c>
      <c r="B522" s="524">
        <v>3</v>
      </c>
      <c r="C522" s="521" t="s">
        <v>25</v>
      </c>
      <c r="D522" s="521"/>
      <c r="E522" s="521"/>
      <c r="F522" s="20"/>
      <c r="G522" s="20" t="s">
        <v>224</v>
      </c>
      <c r="H522" s="21"/>
      <c r="I522" s="21"/>
      <c r="J522" s="21"/>
      <c r="K522" s="21"/>
      <c r="L522" s="91"/>
      <c r="M522" s="91"/>
      <c r="N522" s="539"/>
      <c r="O522" s="12">
        <f t="shared" si="30"/>
        <v>0</v>
      </c>
      <c r="P522" s="18">
        <f t="shared" si="31"/>
        <v>0</v>
      </c>
      <c r="Q522" s="76"/>
    </row>
    <row r="523" spans="1:16" ht="15">
      <c r="A523" s="132">
        <v>14</v>
      </c>
      <c r="B523" s="7">
        <v>3</v>
      </c>
      <c r="C523" s="55">
        <v>1</v>
      </c>
      <c r="D523" s="55">
        <v>41</v>
      </c>
      <c r="E523" s="55">
        <v>611</v>
      </c>
      <c r="F523" s="8"/>
      <c r="G523" s="9"/>
      <c r="H523" s="9" t="s">
        <v>8</v>
      </c>
      <c r="I523" s="9"/>
      <c r="J523" s="9"/>
      <c r="K523" s="9"/>
      <c r="L523" s="46">
        <v>11700</v>
      </c>
      <c r="M523" s="46">
        <v>9278.93</v>
      </c>
      <c r="N523" s="519">
        <v>15000</v>
      </c>
      <c r="O523" s="11">
        <f t="shared" si="30"/>
        <v>15300</v>
      </c>
      <c r="P523" s="18">
        <f t="shared" si="31"/>
        <v>15600</v>
      </c>
    </row>
    <row r="524" spans="1:16" ht="15">
      <c r="A524" s="106"/>
      <c r="B524" s="107"/>
      <c r="C524" s="96"/>
      <c r="D524" s="96"/>
      <c r="E524" s="96">
        <v>614</v>
      </c>
      <c r="F524" s="108"/>
      <c r="G524" s="10"/>
      <c r="H524" s="10" t="s">
        <v>9</v>
      </c>
      <c r="I524" s="10"/>
      <c r="J524" s="10"/>
      <c r="K524" s="10"/>
      <c r="L524" s="56">
        <v>1300</v>
      </c>
      <c r="M524" s="56">
        <v>1296.5</v>
      </c>
      <c r="N524" s="539">
        <v>1000</v>
      </c>
      <c r="O524" s="11">
        <f t="shared" si="30"/>
        <v>1020</v>
      </c>
      <c r="P524" s="18">
        <f t="shared" si="31"/>
        <v>1040</v>
      </c>
    </row>
    <row r="525" spans="1:16" ht="15">
      <c r="A525" s="132"/>
      <c r="B525" s="7"/>
      <c r="C525" s="55"/>
      <c r="D525" s="55"/>
      <c r="E525" s="55">
        <v>621</v>
      </c>
      <c r="F525" s="8"/>
      <c r="G525" s="9"/>
      <c r="H525" s="9" t="s">
        <v>71</v>
      </c>
      <c r="I525" s="9"/>
      <c r="J525" s="9"/>
      <c r="K525" s="9"/>
      <c r="L525" s="46">
        <v>650</v>
      </c>
      <c r="M525" s="46">
        <v>526.07</v>
      </c>
      <c r="N525" s="519">
        <f>(N523+N524)*10%/2</f>
        <v>800</v>
      </c>
      <c r="O525" s="11">
        <f t="shared" si="30"/>
        <v>816</v>
      </c>
      <c r="P525" s="18">
        <f t="shared" si="31"/>
        <v>832</v>
      </c>
    </row>
    <row r="526" spans="1:16" ht="15">
      <c r="A526" s="106"/>
      <c r="B526" s="107"/>
      <c r="C526" s="96"/>
      <c r="D526" s="96"/>
      <c r="E526" s="96">
        <v>622</v>
      </c>
      <c r="F526" s="108"/>
      <c r="G526" s="10"/>
      <c r="H526" s="10" t="s">
        <v>210</v>
      </c>
      <c r="I526" s="10"/>
      <c r="J526" s="10"/>
      <c r="K526" s="10"/>
      <c r="L526" s="56">
        <v>650</v>
      </c>
      <c r="M526" s="56">
        <v>350.87</v>
      </c>
      <c r="N526" s="539">
        <f>(N523+N524)*10%/2</f>
        <v>800</v>
      </c>
      <c r="O526" s="11">
        <f t="shared" si="30"/>
        <v>816</v>
      </c>
      <c r="P526" s="18">
        <f t="shared" si="31"/>
        <v>832</v>
      </c>
    </row>
    <row r="527" spans="1:16" ht="15">
      <c r="A527" s="132"/>
      <c r="B527" s="7"/>
      <c r="C527" s="55"/>
      <c r="D527" s="55"/>
      <c r="E527" s="55">
        <v>625</v>
      </c>
      <c r="F527" s="8" t="s">
        <v>10</v>
      </c>
      <c r="G527" s="9"/>
      <c r="H527" s="9" t="s">
        <v>15</v>
      </c>
      <c r="I527" s="9"/>
      <c r="J527" s="357"/>
      <c r="K527" s="357"/>
      <c r="L527" s="448">
        <v>182</v>
      </c>
      <c r="M527" s="448">
        <v>138.9</v>
      </c>
      <c r="N527" s="519">
        <f>(N523+N524)*1.4%</f>
        <v>223.99999999999997</v>
      </c>
      <c r="O527" s="11">
        <f t="shared" si="30"/>
        <v>228.47999999999996</v>
      </c>
      <c r="P527" s="18">
        <f t="shared" si="31"/>
        <v>232.95999999999998</v>
      </c>
    </row>
    <row r="528" spans="1:16" ht="15">
      <c r="A528" s="106"/>
      <c r="B528" s="107"/>
      <c r="C528" s="96"/>
      <c r="D528" s="96"/>
      <c r="E528" s="96">
        <v>625</v>
      </c>
      <c r="F528" s="108" t="s">
        <v>11</v>
      </c>
      <c r="G528" s="10"/>
      <c r="H528" s="10" t="s">
        <v>16</v>
      </c>
      <c r="I528" s="10"/>
      <c r="J528" s="10"/>
      <c r="K528" s="10"/>
      <c r="L528" s="56">
        <v>1672</v>
      </c>
      <c r="M528" s="56">
        <v>1390.06</v>
      </c>
      <c r="N528" s="539">
        <f>(N523+N524)*14%</f>
        <v>2240</v>
      </c>
      <c r="O528" s="11">
        <f t="shared" si="30"/>
        <v>2284.8</v>
      </c>
      <c r="P528" s="18">
        <f t="shared" si="31"/>
        <v>2329.6</v>
      </c>
    </row>
    <row r="529" spans="1:18" ht="15">
      <c r="A529" s="132"/>
      <c r="B529" s="7"/>
      <c r="C529" s="55"/>
      <c r="D529" s="55"/>
      <c r="E529" s="55">
        <v>625</v>
      </c>
      <c r="F529" s="8" t="s">
        <v>12</v>
      </c>
      <c r="G529" s="9"/>
      <c r="H529" s="9" t="s">
        <v>17</v>
      </c>
      <c r="I529" s="9"/>
      <c r="J529" s="9"/>
      <c r="K529" s="9"/>
      <c r="L529" s="46">
        <v>104</v>
      </c>
      <c r="M529" s="46">
        <v>95.67</v>
      </c>
      <c r="N529" s="519">
        <f>(N523+N524)*0.8%</f>
        <v>128</v>
      </c>
      <c r="O529" s="11">
        <f t="shared" si="30"/>
        <v>130.56</v>
      </c>
      <c r="P529" s="18">
        <f t="shared" si="31"/>
        <v>133.12</v>
      </c>
      <c r="R529" s="24" t="s">
        <v>703</v>
      </c>
    </row>
    <row r="530" spans="1:16" ht="15">
      <c r="A530" s="106"/>
      <c r="B530" s="107"/>
      <c r="C530" s="96"/>
      <c r="D530" s="96"/>
      <c r="E530" s="96">
        <v>625</v>
      </c>
      <c r="F530" s="108" t="s">
        <v>13</v>
      </c>
      <c r="G530" s="10"/>
      <c r="H530" s="10" t="s">
        <v>18</v>
      </c>
      <c r="I530" s="10"/>
      <c r="J530" s="10"/>
      <c r="K530" s="10"/>
      <c r="L530" s="56">
        <v>390</v>
      </c>
      <c r="M530" s="56">
        <v>297.66</v>
      </c>
      <c r="N530" s="539">
        <f>(N523+N524)*3%</f>
        <v>480</v>
      </c>
      <c r="O530" s="11">
        <f t="shared" si="30"/>
        <v>489.6</v>
      </c>
      <c r="P530" s="18">
        <f t="shared" si="31"/>
        <v>499.2</v>
      </c>
    </row>
    <row r="531" spans="1:16" ht="15">
      <c r="A531" s="132"/>
      <c r="B531" s="7"/>
      <c r="C531" s="55"/>
      <c r="D531" s="55"/>
      <c r="E531" s="55">
        <v>625</v>
      </c>
      <c r="F531" s="8" t="s">
        <v>19</v>
      </c>
      <c r="G531" s="9"/>
      <c r="H531" s="9" t="s">
        <v>20</v>
      </c>
      <c r="I531" s="9"/>
      <c r="J531" s="9"/>
      <c r="K531" s="9"/>
      <c r="L531" s="46">
        <v>130</v>
      </c>
      <c r="M531" s="46">
        <v>99.08</v>
      </c>
      <c r="N531" s="519">
        <f>(N523+N524)*1%</f>
        <v>160</v>
      </c>
      <c r="O531" s="11">
        <f t="shared" si="30"/>
        <v>163.2</v>
      </c>
      <c r="P531" s="18">
        <f t="shared" si="31"/>
        <v>166.4</v>
      </c>
    </row>
    <row r="532" spans="1:16" ht="15">
      <c r="A532" s="106"/>
      <c r="B532" s="107"/>
      <c r="C532" s="96"/>
      <c r="D532" s="96"/>
      <c r="E532" s="96">
        <v>625</v>
      </c>
      <c r="F532" s="108" t="s">
        <v>21</v>
      </c>
      <c r="G532" s="10"/>
      <c r="H532" s="10" t="s">
        <v>22</v>
      </c>
      <c r="I532" s="10"/>
      <c r="J532" s="10"/>
      <c r="K532" s="10"/>
      <c r="L532" s="56">
        <v>618</v>
      </c>
      <c r="M532" s="56">
        <v>471.48</v>
      </c>
      <c r="N532" s="539">
        <f>(N523+N524)*4.75%</f>
        <v>760</v>
      </c>
      <c r="O532" s="11">
        <f t="shared" si="30"/>
        <v>775.2</v>
      </c>
      <c r="P532" s="18">
        <f t="shared" si="31"/>
        <v>790.4</v>
      </c>
    </row>
    <row r="533" spans="1:16" ht="15">
      <c r="A533" s="132"/>
      <c r="B533" s="7"/>
      <c r="C533" s="55"/>
      <c r="D533" s="55"/>
      <c r="E533" s="55">
        <v>637</v>
      </c>
      <c r="F533" s="8" t="s">
        <v>10</v>
      </c>
      <c r="G533" s="9"/>
      <c r="H533" s="9" t="s">
        <v>602</v>
      </c>
      <c r="I533" s="9"/>
      <c r="J533" s="9"/>
      <c r="K533" s="9"/>
      <c r="L533" s="46">
        <v>148</v>
      </c>
      <c r="M533" s="46">
        <v>147.5</v>
      </c>
      <c r="N533" s="519">
        <v>100</v>
      </c>
      <c r="O533" s="11">
        <f>N533+N533*$O$463</f>
        <v>102</v>
      </c>
      <c r="P533" s="18">
        <f>N533+N533*$P$463</f>
        <v>104</v>
      </c>
    </row>
    <row r="534" spans="1:16" ht="15">
      <c r="A534" s="132"/>
      <c r="B534" s="7"/>
      <c r="C534" s="55"/>
      <c r="D534" s="55"/>
      <c r="E534" s="55">
        <v>637</v>
      </c>
      <c r="F534" s="8" t="s">
        <v>57</v>
      </c>
      <c r="G534" s="9"/>
      <c r="H534" s="9" t="s">
        <v>225</v>
      </c>
      <c r="I534" s="9"/>
      <c r="J534" s="9"/>
      <c r="K534" s="9"/>
      <c r="L534" s="46">
        <v>3500</v>
      </c>
      <c r="M534" s="46">
        <v>1757.02</v>
      </c>
      <c r="N534" s="519">
        <v>3500</v>
      </c>
      <c r="O534" s="11">
        <f t="shared" si="30"/>
        <v>3570</v>
      </c>
      <c r="P534" s="18">
        <f t="shared" si="31"/>
        <v>3640</v>
      </c>
    </row>
    <row r="535" spans="1:16" ht="15">
      <c r="A535" s="106"/>
      <c r="B535" s="107"/>
      <c r="C535" s="96"/>
      <c r="D535" s="96"/>
      <c r="E535" s="96">
        <v>642</v>
      </c>
      <c r="F535" s="108" t="s">
        <v>76</v>
      </c>
      <c r="G535" s="10"/>
      <c r="H535" s="10" t="s">
        <v>222</v>
      </c>
      <c r="I535" s="10"/>
      <c r="J535" s="10"/>
      <c r="K535" s="10"/>
      <c r="L535" s="56">
        <v>100</v>
      </c>
      <c r="M535" s="56">
        <v>0</v>
      </c>
      <c r="N535" s="539">
        <v>100</v>
      </c>
      <c r="O535" s="11">
        <f t="shared" si="30"/>
        <v>102</v>
      </c>
      <c r="P535" s="18">
        <f t="shared" si="31"/>
        <v>104</v>
      </c>
    </row>
    <row r="536" spans="1:16" ht="15">
      <c r="A536" s="6">
        <v>14</v>
      </c>
      <c r="B536" s="3">
        <v>3</v>
      </c>
      <c r="C536" s="523"/>
      <c r="D536" s="523"/>
      <c r="E536" s="523"/>
      <c r="F536" s="4"/>
      <c r="G536" s="5"/>
      <c r="H536" s="5" t="s">
        <v>227</v>
      </c>
      <c r="I536" s="5"/>
      <c r="J536" s="5"/>
      <c r="K536" s="5"/>
      <c r="L536" s="73">
        <f>SUM(L523:L535)</f>
        <v>21144</v>
      </c>
      <c r="M536" s="73">
        <f>SUM(M523:M535)</f>
        <v>15849.74</v>
      </c>
      <c r="N536" s="520">
        <f>SUM(N523:N535)</f>
        <v>25292</v>
      </c>
      <c r="O536" s="14">
        <f t="shared" si="30"/>
        <v>25797.84</v>
      </c>
      <c r="P536" s="133">
        <f t="shared" si="31"/>
        <v>26303.68</v>
      </c>
    </row>
    <row r="537" spans="1:16" ht="15">
      <c r="A537" s="132">
        <v>14</v>
      </c>
      <c r="B537" s="7">
        <v>4</v>
      </c>
      <c r="C537" s="55">
        <v>1</v>
      </c>
      <c r="D537" s="55">
        <v>111</v>
      </c>
      <c r="E537" s="55">
        <v>611</v>
      </c>
      <c r="F537" s="8"/>
      <c r="G537" s="9"/>
      <c r="H537" s="9" t="s">
        <v>603</v>
      </c>
      <c r="I537" s="9"/>
      <c r="J537" s="9"/>
      <c r="K537" s="9"/>
      <c r="L537" s="46">
        <v>9620</v>
      </c>
      <c r="M537" s="46">
        <v>9620</v>
      </c>
      <c r="N537" s="519">
        <v>0</v>
      </c>
      <c r="O537" s="11">
        <f>N537+N537*$O$463</f>
        <v>0</v>
      </c>
      <c r="P537" s="18">
        <f>N537+N537*$P$463</f>
        <v>0</v>
      </c>
    </row>
    <row r="538" spans="1:16" ht="15">
      <c r="A538" s="132">
        <v>14</v>
      </c>
      <c r="B538" s="7">
        <v>5</v>
      </c>
      <c r="C538" s="55">
        <v>1</v>
      </c>
      <c r="D538" s="55">
        <v>111</v>
      </c>
      <c r="E538" s="55">
        <v>611</v>
      </c>
      <c r="F538" s="8"/>
      <c r="G538" s="9"/>
      <c r="H538" s="9" t="s">
        <v>603</v>
      </c>
      <c r="I538" s="9"/>
      <c r="J538" s="9"/>
      <c r="K538" s="9"/>
      <c r="L538" s="46">
        <v>50306</v>
      </c>
      <c r="M538" s="46">
        <v>67306</v>
      </c>
      <c r="N538" s="519">
        <v>0</v>
      </c>
      <c r="O538" s="11">
        <f>N538+N538*$O$463</f>
        <v>0</v>
      </c>
      <c r="P538" s="18">
        <f>N538+N538*$P$463</f>
        <v>0</v>
      </c>
    </row>
    <row r="539" spans="1:16" ht="15">
      <c r="A539" s="132"/>
      <c r="B539" s="7"/>
      <c r="C539" s="55"/>
      <c r="D539" s="523">
        <v>111</v>
      </c>
      <c r="E539" s="523"/>
      <c r="F539" s="4"/>
      <c r="G539" s="5"/>
      <c r="H539" s="5" t="s">
        <v>604</v>
      </c>
      <c r="I539" s="5"/>
      <c r="J539" s="5"/>
      <c r="K539" s="5"/>
      <c r="L539" s="73">
        <f>SUM(L537:L538)</f>
        <v>59926</v>
      </c>
      <c r="M539" s="73">
        <f>SUM(M537:M538)</f>
        <v>76926</v>
      </c>
      <c r="N539" s="520">
        <v>0</v>
      </c>
      <c r="O539" s="14">
        <f>N539+N539*$O$463</f>
        <v>0</v>
      </c>
      <c r="P539" s="133">
        <f>N539+N539*$P$463</f>
        <v>0</v>
      </c>
    </row>
    <row r="540" spans="1:16" ht="15">
      <c r="A540" s="202">
        <v>14</v>
      </c>
      <c r="B540" s="203"/>
      <c r="C540" s="204"/>
      <c r="D540" s="204"/>
      <c r="E540" s="204"/>
      <c r="F540" s="205"/>
      <c r="G540" s="206"/>
      <c r="H540" s="206" t="s">
        <v>348</v>
      </c>
      <c r="I540" s="206"/>
      <c r="J540" s="206"/>
      <c r="K540" s="206"/>
      <c r="L540" s="442">
        <f>L472+L489+L519+L520+L536+L539</f>
        <v>188420.38</v>
      </c>
      <c r="M540" s="442">
        <f>M472+M489+M519+M520+M536+M539</f>
        <v>177197.03999999998</v>
      </c>
      <c r="N540" s="689">
        <f>N472+N489+N519+N520+N536</f>
        <v>244681</v>
      </c>
      <c r="O540" s="199">
        <f>O472+O489+O519+O520+O536</f>
        <v>249574.62</v>
      </c>
      <c r="P540" s="200">
        <f>P472+P489+P519+P520+P536</f>
        <v>254468.24</v>
      </c>
    </row>
    <row r="541" spans="1:16" ht="15">
      <c r="A541" s="70"/>
      <c r="B541" s="71"/>
      <c r="C541" s="109"/>
      <c r="D541" s="109"/>
      <c r="E541" s="109"/>
      <c r="F541" s="72"/>
      <c r="G541" s="46"/>
      <c r="H541" s="46"/>
      <c r="I541" s="46"/>
      <c r="J541" s="46"/>
      <c r="K541" s="46"/>
      <c r="L541" s="46"/>
      <c r="M541" s="46"/>
      <c r="N541" s="519"/>
      <c r="O541" s="74"/>
      <c r="P541" s="75"/>
    </row>
    <row r="542" spans="1:16" ht="15">
      <c r="A542" s="19">
        <v>15</v>
      </c>
      <c r="B542" s="738" t="s">
        <v>24</v>
      </c>
      <c r="C542" s="738"/>
      <c r="D542" s="738"/>
      <c r="E542" s="738"/>
      <c r="F542" s="20" t="s">
        <v>228</v>
      </c>
      <c r="G542" s="21"/>
      <c r="H542" s="21"/>
      <c r="I542" s="10"/>
      <c r="J542" s="10"/>
      <c r="K542" s="10"/>
      <c r="L542" s="56"/>
      <c r="M542" s="56"/>
      <c r="N542" s="539"/>
      <c r="O542" s="13">
        <v>0.02</v>
      </c>
      <c r="P542" s="17">
        <v>0.04</v>
      </c>
    </row>
    <row r="543" spans="1:16" ht="15">
      <c r="A543" s="132">
        <v>15</v>
      </c>
      <c r="B543" s="7">
        <v>1</v>
      </c>
      <c r="C543" s="55" t="s">
        <v>25</v>
      </c>
      <c r="D543" s="55"/>
      <c r="E543" s="55"/>
      <c r="F543" s="8"/>
      <c r="G543" s="8" t="s">
        <v>229</v>
      </c>
      <c r="H543" s="9"/>
      <c r="I543" s="9"/>
      <c r="J543" s="9"/>
      <c r="K543" s="9"/>
      <c r="L543" s="46"/>
      <c r="M543" s="46"/>
      <c r="N543" s="519"/>
      <c r="O543" s="11"/>
      <c r="P543" s="18"/>
    </row>
    <row r="544" spans="1:17" ht="15">
      <c r="A544" s="106" t="s">
        <v>0</v>
      </c>
      <c r="B544" s="107" t="s">
        <v>1</v>
      </c>
      <c r="C544" s="96" t="s">
        <v>2</v>
      </c>
      <c r="D544" s="96" t="s">
        <v>3</v>
      </c>
      <c r="E544" s="96" t="s">
        <v>4</v>
      </c>
      <c r="F544" s="108" t="s">
        <v>5</v>
      </c>
      <c r="G544" s="10" t="s">
        <v>6</v>
      </c>
      <c r="H544" s="10" t="s">
        <v>7</v>
      </c>
      <c r="I544" s="10"/>
      <c r="J544" s="10"/>
      <c r="K544" s="10"/>
      <c r="L544" s="56"/>
      <c r="M544" s="56"/>
      <c r="N544" s="539"/>
      <c r="O544" s="13"/>
      <c r="P544" s="17"/>
      <c r="Q544" s="76"/>
    </row>
    <row r="545" spans="1:16" ht="15">
      <c r="A545" s="132">
        <v>15</v>
      </c>
      <c r="B545" s="7">
        <v>1</v>
      </c>
      <c r="C545" s="55">
        <v>1</v>
      </c>
      <c r="D545" s="55">
        <v>41</v>
      </c>
      <c r="E545" s="55">
        <v>611</v>
      </c>
      <c r="F545" s="8"/>
      <c r="G545" s="9"/>
      <c r="H545" s="9" t="s">
        <v>8</v>
      </c>
      <c r="I545" s="9"/>
      <c r="J545" s="9"/>
      <c r="K545" s="9"/>
      <c r="L545" s="46">
        <v>38200</v>
      </c>
      <c r="M545" s="46">
        <v>38297.3</v>
      </c>
      <c r="N545" s="519">
        <v>44400</v>
      </c>
      <c r="O545" s="11">
        <f>N545+N545*$O$542</f>
        <v>45288</v>
      </c>
      <c r="P545" s="18">
        <f>N545+N545*$P$542</f>
        <v>46176</v>
      </c>
    </row>
    <row r="546" spans="1:16" ht="15">
      <c r="A546" s="106"/>
      <c r="B546" s="107"/>
      <c r="C546" s="96"/>
      <c r="D546" s="96"/>
      <c r="E546" s="96">
        <v>612</v>
      </c>
      <c r="F546" s="108" t="s">
        <v>10</v>
      </c>
      <c r="G546" s="10"/>
      <c r="H546" s="10" t="s">
        <v>346</v>
      </c>
      <c r="I546" s="10"/>
      <c r="J546" s="10"/>
      <c r="K546" s="10"/>
      <c r="L546" s="56">
        <v>16500</v>
      </c>
      <c r="M546" s="56">
        <v>16457.47</v>
      </c>
      <c r="N546" s="539">
        <v>16000</v>
      </c>
      <c r="O546" s="11">
        <f aca="true" t="shared" si="32" ref="O546:O597">N546+N546*$O$542</f>
        <v>16320</v>
      </c>
      <c r="P546" s="18">
        <f aca="true" t="shared" si="33" ref="P546:P597">N546+N546*$P$542</f>
        <v>16640</v>
      </c>
    </row>
    <row r="547" spans="1:16" ht="15">
      <c r="A547" s="132"/>
      <c r="B547" s="7"/>
      <c r="C547" s="55"/>
      <c r="D547" s="55"/>
      <c r="E547" s="55">
        <v>614</v>
      </c>
      <c r="F547" s="8"/>
      <c r="G547" s="9"/>
      <c r="H547" s="9" t="s">
        <v>9</v>
      </c>
      <c r="I547" s="9"/>
      <c r="J547" s="9"/>
      <c r="K547" s="9"/>
      <c r="L547" s="46">
        <v>7300</v>
      </c>
      <c r="M547" s="46">
        <v>3690</v>
      </c>
      <c r="N547" s="519">
        <v>4000</v>
      </c>
      <c r="O547" s="11">
        <f t="shared" si="32"/>
        <v>4080</v>
      </c>
      <c r="P547" s="18">
        <f t="shared" si="33"/>
        <v>4160</v>
      </c>
    </row>
    <row r="548" spans="1:16" ht="15">
      <c r="A548" s="106"/>
      <c r="B548" s="107"/>
      <c r="C548" s="96"/>
      <c r="D548" s="96"/>
      <c r="E548" s="96">
        <v>621</v>
      </c>
      <c r="F548" s="108"/>
      <c r="G548" s="10"/>
      <c r="H548" s="10" t="s">
        <v>71</v>
      </c>
      <c r="I548" s="10"/>
      <c r="J548" s="10"/>
      <c r="K548" s="10"/>
      <c r="L548" s="56">
        <v>6200</v>
      </c>
      <c r="M548" s="56">
        <v>5842.12</v>
      </c>
      <c r="N548" s="539">
        <f>(N545+N546+N547)*10%</f>
        <v>6440</v>
      </c>
      <c r="O548" s="11">
        <f t="shared" si="32"/>
        <v>6568.8</v>
      </c>
      <c r="P548" s="18">
        <f t="shared" si="33"/>
        <v>6697.6</v>
      </c>
    </row>
    <row r="549" spans="1:16" ht="15">
      <c r="A549" s="132"/>
      <c r="B549" s="7"/>
      <c r="C549" s="55"/>
      <c r="D549" s="55"/>
      <c r="E549" s="55"/>
      <c r="F549" s="8"/>
      <c r="G549" s="9"/>
      <c r="H549" s="9"/>
      <c r="I549" s="9"/>
      <c r="J549" s="9"/>
      <c r="K549" s="9"/>
      <c r="L549" s="46"/>
      <c r="M549" s="46"/>
      <c r="N549" s="519"/>
      <c r="O549" s="11"/>
      <c r="P549" s="18"/>
    </row>
    <row r="550" spans="1:16" ht="15">
      <c r="A550" s="106"/>
      <c r="B550" s="107"/>
      <c r="C550" s="96"/>
      <c r="D550" s="96"/>
      <c r="E550" s="96">
        <v>625</v>
      </c>
      <c r="F550" s="108" t="s">
        <v>10</v>
      </c>
      <c r="G550" s="10"/>
      <c r="H550" s="10" t="s">
        <v>15</v>
      </c>
      <c r="I550" s="10"/>
      <c r="J550" s="10"/>
      <c r="K550" s="10"/>
      <c r="L550" s="56">
        <v>783</v>
      </c>
      <c r="M550" s="56">
        <v>782.53</v>
      </c>
      <c r="N550" s="539">
        <v>762</v>
      </c>
      <c r="O550" s="11">
        <f t="shared" si="32"/>
        <v>777.24</v>
      </c>
      <c r="P550" s="18">
        <f t="shared" si="33"/>
        <v>792.48</v>
      </c>
    </row>
    <row r="551" spans="1:16" ht="15">
      <c r="A551" s="132"/>
      <c r="B551" s="7"/>
      <c r="C551" s="55"/>
      <c r="D551" s="55"/>
      <c r="E551" s="55">
        <v>625</v>
      </c>
      <c r="F551" s="8" t="s">
        <v>11</v>
      </c>
      <c r="G551" s="9"/>
      <c r="H551" s="9" t="s">
        <v>16</v>
      </c>
      <c r="I551" s="9"/>
      <c r="J551" s="9"/>
      <c r="K551" s="9"/>
      <c r="L551" s="46">
        <v>8017</v>
      </c>
      <c r="M551" s="46">
        <v>8016.57</v>
      </c>
      <c r="N551" s="519">
        <f>(N545+N547)*14%</f>
        <v>6776.000000000001</v>
      </c>
      <c r="O551" s="11">
        <f t="shared" si="32"/>
        <v>6911.520000000001</v>
      </c>
      <c r="P551" s="18">
        <f t="shared" si="33"/>
        <v>7047.040000000001</v>
      </c>
    </row>
    <row r="552" spans="1:16" ht="15">
      <c r="A552" s="106"/>
      <c r="B552" s="107"/>
      <c r="C552" s="96"/>
      <c r="D552" s="96"/>
      <c r="E552" s="96">
        <v>625</v>
      </c>
      <c r="F552" s="108" t="s">
        <v>12</v>
      </c>
      <c r="G552" s="10"/>
      <c r="H552" s="10" t="s">
        <v>17</v>
      </c>
      <c r="I552" s="10"/>
      <c r="J552" s="10"/>
      <c r="K552" s="10"/>
      <c r="L552" s="56">
        <v>486</v>
      </c>
      <c r="M552" s="56">
        <v>485.32</v>
      </c>
      <c r="N552" s="539">
        <v>436</v>
      </c>
      <c r="O552" s="11">
        <f t="shared" si="32"/>
        <v>444.72</v>
      </c>
      <c r="P552" s="18">
        <f t="shared" si="33"/>
        <v>453.44</v>
      </c>
    </row>
    <row r="553" spans="1:16" ht="15">
      <c r="A553" s="132"/>
      <c r="B553" s="7"/>
      <c r="C553" s="55"/>
      <c r="D553" s="55"/>
      <c r="E553" s="55">
        <v>625</v>
      </c>
      <c r="F553" s="8" t="s">
        <v>13</v>
      </c>
      <c r="G553" s="9"/>
      <c r="H553" s="9" t="s">
        <v>18</v>
      </c>
      <c r="I553" s="9"/>
      <c r="J553" s="9"/>
      <c r="K553" s="9"/>
      <c r="L553" s="46">
        <v>1587</v>
      </c>
      <c r="M553" s="46">
        <v>1586.66</v>
      </c>
      <c r="N553" s="519">
        <f>(N545+N547)*3%</f>
        <v>1452</v>
      </c>
      <c r="O553" s="11">
        <f t="shared" si="32"/>
        <v>1481.04</v>
      </c>
      <c r="P553" s="18">
        <f t="shared" si="33"/>
        <v>1510.08</v>
      </c>
    </row>
    <row r="554" spans="1:16" ht="15">
      <c r="A554" s="106"/>
      <c r="B554" s="107"/>
      <c r="C554" s="96"/>
      <c r="D554" s="96"/>
      <c r="E554" s="96">
        <v>625</v>
      </c>
      <c r="F554" s="108" t="s">
        <v>19</v>
      </c>
      <c r="G554" s="10"/>
      <c r="H554" s="10" t="s">
        <v>20</v>
      </c>
      <c r="I554" s="10"/>
      <c r="J554" s="10"/>
      <c r="K554" s="10"/>
      <c r="L554" s="56">
        <v>573</v>
      </c>
      <c r="M554" s="56">
        <v>572.48</v>
      </c>
      <c r="N554" s="539">
        <f>(N545+N547)*1%</f>
        <v>484</v>
      </c>
      <c r="O554" s="11">
        <f t="shared" si="32"/>
        <v>493.68</v>
      </c>
      <c r="P554" s="18">
        <f t="shared" si="33"/>
        <v>503.36</v>
      </c>
    </row>
    <row r="555" spans="1:16" ht="15">
      <c r="A555" s="132"/>
      <c r="B555" s="7"/>
      <c r="C555" s="55"/>
      <c r="D555" s="55"/>
      <c r="E555" s="55">
        <v>625</v>
      </c>
      <c r="F555" s="8" t="s">
        <v>21</v>
      </c>
      <c r="G555" s="9"/>
      <c r="H555" s="9" t="s">
        <v>22</v>
      </c>
      <c r="I555" s="9"/>
      <c r="J555" s="9"/>
      <c r="K555" s="9"/>
      <c r="L555" s="46">
        <v>2720</v>
      </c>
      <c r="M555" s="46">
        <v>2719.58</v>
      </c>
      <c r="N555" s="519">
        <f>(N545+N547)*4.75%</f>
        <v>2299</v>
      </c>
      <c r="O555" s="11">
        <f t="shared" si="32"/>
        <v>2344.98</v>
      </c>
      <c r="P555" s="18">
        <f t="shared" si="33"/>
        <v>2390.96</v>
      </c>
    </row>
    <row r="556" spans="1:16" ht="15">
      <c r="A556" s="132"/>
      <c r="B556" s="7"/>
      <c r="C556" s="55"/>
      <c r="D556" s="55"/>
      <c r="E556" s="55">
        <v>627</v>
      </c>
      <c r="F556" s="8"/>
      <c r="G556" s="9"/>
      <c r="H556" s="9" t="s">
        <v>230</v>
      </c>
      <c r="I556" s="9"/>
      <c r="J556" s="9"/>
      <c r="K556" s="9"/>
      <c r="L556" s="46">
        <v>1160</v>
      </c>
      <c r="M556" s="46">
        <v>1159.68</v>
      </c>
      <c r="N556" s="519">
        <v>1200</v>
      </c>
      <c r="O556" s="11">
        <f t="shared" si="32"/>
        <v>1224</v>
      </c>
      <c r="P556" s="18">
        <f t="shared" si="33"/>
        <v>1248</v>
      </c>
    </row>
    <row r="557" spans="1:16" ht="15">
      <c r="A557" s="106"/>
      <c r="B557" s="263"/>
      <c r="C557" s="96"/>
      <c r="D557" s="96"/>
      <c r="E557" s="96">
        <v>631</v>
      </c>
      <c r="F557" s="108" t="s">
        <v>10</v>
      </c>
      <c r="G557" s="10"/>
      <c r="H557" s="31" t="s">
        <v>430</v>
      </c>
      <c r="I557" s="10"/>
      <c r="J557" s="10"/>
      <c r="K557" s="10"/>
      <c r="L557" s="56">
        <v>2762</v>
      </c>
      <c r="M557" s="56">
        <v>2761.75</v>
      </c>
      <c r="N557" s="539">
        <v>1000</v>
      </c>
      <c r="O557" s="11">
        <f t="shared" si="32"/>
        <v>1020</v>
      </c>
      <c r="P557" s="18">
        <f t="shared" si="33"/>
        <v>1040</v>
      </c>
    </row>
    <row r="558" spans="1:16" ht="15">
      <c r="A558" s="132"/>
      <c r="B558" s="7"/>
      <c r="C558" s="55"/>
      <c r="D558" s="55"/>
      <c r="E558" s="55">
        <v>632</v>
      </c>
      <c r="F558" s="8" t="s">
        <v>10</v>
      </c>
      <c r="G558" s="9"/>
      <c r="H558" s="9" t="s">
        <v>468</v>
      </c>
      <c r="I558" s="9"/>
      <c r="J558" s="9"/>
      <c r="K558" s="9"/>
      <c r="L558" s="46">
        <v>1650</v>
      </c>
      <c r="M558" s="46">
        <v>1426.26</v>
      </c>
      <c r="N558" s="519">
        <v>1500</v>
      </c>
      <c r="O558" s="11">
        <f t="shared" si="32"/>
        <v>1530</v>
      </c>
      <c r="P558" s="18">
        <f t="shared" si="33"/>
        <v>1560</v>
      </c>
    </row>
    <row r="559" spans="1:16" ht="15">
      <c r="A559" s="157"/>
      <c r="B559" s="158"/>
      <c r="C559" s="118"/>
      <c r="D559" s="118"/>
      <c r="E559" s="118">
        <v>632</v>
      </c>
      <c r="F559" s="159" t="s">
        <v>10</v>
      </c>
      <c r="G559" s="117"/>
      <c r="H559" s="117" t="s">
        <v>467</v>
      </c>
      <c r="I559" s="117"/>
      <c r="J559" s="117"/>
      <c r="K559" s="117"/>
      <c r="L559" s="86">
        <v>4900</v>
      </c>
      <c r="M559" s="86">
        <v>3408.66</v>
      </c>
      <c r="N559" s="683">
        <v>4500</v>
      </c>
      <c r="O559" s="11">
        <f t="shared" si="32"/>
        <v>4590</v>
      </c>
      <c r="P559" s="18">
        <f t="shared" si="33"/>
        <v>4680</v>
      </c>
    </row>
    <row r="560" spans="1:16" ht="15">
      <c r="A560" s="157"/>
      <c r="B560" s="158"/>
      <c r="C560" s="118"/>
      <c r="D560" s="118"/>
      <c r="E560" s="118">
        <v>632</v>
      </c>
      <c r="F560" s="159" t="s">
        <v>11</v>
      </c>
      <c r="G560" s="117"/>
      <c r="H560" s="117" t="s">
        <v>231</v>
      </c>
      <c r="I560" s="117"/>
      <c r="J560" s="117"/>
      <c r="K560" s="117"/>
      <c r="L560" s="86">
        <v>160</v>
      </c>
      <c r="M560" s="86">
        <v>159.91</v>
      </c>
      <c r="N560" s="683">
        <v>160</v>
      </c>
      <c r="O560" s="11">
        <f t="shared" si="32"/>
        <v>163.2</v>
      </c>
      <c r="P560" s="18">
        <f t="shared" si="33"/>
        <v>166.4</v>
      </c>
    </row>
    <row r="561" spans="1:16" ht="15">
      <c r="A561" s="106"/>
      <c r="B561" s="107"/>
      <c r="C561" s="96"/>
      <c r="D561" s="96"/>
      <c r="E561" s="96">
        <v>632</v>
      </c>
      <c r="F561" s="108" t="s">
        <v>12</v>
      </c>
      <c r="G561" s="10"/>
      <c r="H561" s="10" t="s">
        <v>214</v>
      </c>
      <c r="I561" s="10"/>
      <c r="J561" s="10"/>
      <c r="K561" s="10"/>
      <c r="L561" s="56">
        <v>4584</v>
      </c>
      <c r="M561" s="56">
        <v>4224.34</v>
      </c>
      <c r="N561" s="539">
        <v>4800</v>
      </c>
      <c r="O561" s="11">
        <f t="shared" si="32"/>
        <v>4896</v>
      </c>
      <c r="P561" s="18">
        <f t="shared" si="33"/>
        <v>4992</v>
      </c>
    </row>
    <row r="562" spans="1:18" ht="15">
      <c r="A562" s="132"/>
      <c r="B562" s="7"/>
      <c r="C562" s="55"/>
      <c r="D562" s="55"/>
      <c r="E562" s="55">
        <v>633</v>
      </c>
      <c r="F562" s="8" t="s">
        <v>10</v>
      </c>
      <c r="G562" s="9"/>
      <c r="H562" s="9" t="s">
        <v>232</v>
      </c>
      <c r="I562" s="9"/>
      <c r="J562" s="9"/>
      <c r="K562" s="9"/>
      <c r="L562" s="46">
        <v>1000</v>
      </c>
      <c r="M562" s="46">
        <v>465</v>
      </c>
      <c r="N562" s="519">
        <v>2000</v>
      </c>
      <c r="O562" s="11">
        <f t="shared" si="32"/>
        <v>2040</v>
      </c>
      <c r="P562" s="18">
        <f t="shared" si="33"/>
        <v>2080</v>
      </c>
      <c r="R562" s="24" t="s">
        <v>704</v>
      </c>
    </row>
    <row r="563" spans="1:16" ht="15">
      <c r="A563" s="132"/>
      <c r="B563" s="7"/>
      <c r="C563" s="55"/>
      <c r="D563" s="55"/>
      <c r="E563" s="55">
        <v>633</v>
      </c>
      <c r="F563" s="8" t="s">
        <v>11</v>
      </c>
      <c r="G563" s="9"/>
      <c r="H563" s="9" t="s">
        <v>482</v>
      </c>
      <c r="I563" s="9"/>
      <c r="J563" s="9"/>
      <c r="K563" s="9"/>
      <c r="L563" s="46">
        <v>2602</v>
      </c>
      <c r="M563" s="46">
        <v>2601.42</v>
      </c>
      <c r="N563" s="519">
        <v>500</v>
      </c>
      <c r="O563" s="11">
        <f>N563+N563*$O$542</f>
        <v>510</v>
      </c>
      <c r="P563" s="18">
        <f>N563+N563*$P$542</f>
        <v>520</v>
      </c>
    </row>
    <row r="564" spans="1:16" ht="15">
      <c r="A564" s="106"/>
      <c r="B564" s="107"/>
      <c r="C564" s="96"/>
      <c r="D564" s="96"/>
      <c r="E564" s="96">
        <v>633</v>
      </c>
      <c r="F564" s="108" t="s">
        <v>13</v>
      </c>
      <c r="G564" s="10"/>
      <c r="H564" s="10" t="s">
        <v>233</v>
      </c>
      <c r="I564" s="10"/>
      <c r="J564" s="10"/>
      <c r="K564" s="10"/>
      <c r="L564" s="56">
        <v>1000</v>
      </c>
      <c r="M564" s="56">
        <v>131.22</v>
      </c>
      <c r="N564" s="539">
        <v>1000</v>
      </c>
      <c r="O564" s="11">
        <f t="shared" si="32"/>
        <v>1020</v>
      </c>
      <c r="P564" s="18">
        <f t="shared" si="33"/>
        <v>1040</v>
      </c>
    </row>
    <row r="565" spans="1:16" ht="15">
      <c r="A565" s="132"/>
      <c r="B565" s="7"/>
      <c r="C565" s="55"/>
      <c r="D565" s="55"/>
      <c r="E565" s="55">
        <v>633</v>
      </c>
      <c r="F565" s="8" t="s">
        <v>29</v>
      </c>
      <c r="G565" s="9"/>
      <c r="H565" s="9" t="s">
        <v>66</v>
      </c>
      <c r="I565" s="9"/>
      <c r="J565" s="9"/>
      <c r="K565" s="9"/>
      <c r="L565" s="46">
        <v>9705</v>
      </c>
      <c r="M565" s="46">
        <v>9704.3</v>
      </c>
      <c r="N565" s="519">
        <v>9000</v>
      </c>
      <c r="O565" s="11">
        <f t="shared" si="32"/>
        <v>9180</v>
      </c>
      <c r="P565" s="18">
        <f t="shared" si="33"/>
        <v>9360</v>
      </c>
    </row>
    <row r="566" spans="1:16" ht="15">
      <c r="A566" s="157"/>
      <c r="B566" s="158"/>
      <c r="C566" s="118"/>
      <c r="D566" s="118"/>
      <c r="E566" s="118">
        <v>633</v>
      </c>
      <c r="F566" s="159" t="s">
        <v>29</v>
      </c>
      <c r="G566" s="117">
        <v>1</v>
      </c>
      <c r="H566" s="117" t="s">
        <v>234</v>
      </c>
      <c r="I566" s="117"/>
      <c r="J566" s="117"/>
      <c r="K566" s="117"/>
      <c r="L566" s="86">
        <v>2000</v>
      </c>
      <c r="M566" s="86">
        <v>1184.41</v>
      </c>
      <c r="N566" s="683">
        <v>2000</v>
      </c>
      <c r="O566" s="11">
        <f t="shared" si="32"/>
        <v>2040</v>
      </c>
      <c r="P566" s="18">
        <f t="shared" si="33"/>
        <v>2080</v>
      </c>
    </row>
    <row r="567" spans="1:16" ht="15">
      <c r="A567" s="106"/>
      <c r="B567" s="107"/>
      <c r="C567" s="96"/>
      <c r="D567" s="96"/>
      <c r="E567" s="96">
        <v>633</v>
      </c>
      <c r="F567" s="108" t="s">
        <v>143</v>
      </c>
      <c r="G567" s="10"/>
      <c r="H567" s="10" t="s">
        <v>217</v>
      </c>
      <c r="I567" s="10"/>
      <c r="J567" s="10"/>
      <c r="K567" s="10"/>
      <c r="L567" s="56">
        <v>400</v>
      </c>
      <c r="M567" s="56">
        <v>342.9</v>
      </c>
      <c r="N567" s="539">
        <v>400</v>
      </c>
      <c r="O567" s="11">
        <f t="shared" si="32"/>
        <v>408</v>
      </c>
      <c r="P567" s="18">
        <f t="shared" si="33"/>
        <v>416</v>
      </c>
    </row>
    <row r="568" spans="1:16" ht="15">
      <c r="A568" s="132"/>
      <c r="B568" s="7"/>
      <c r="C568" s="55"/>
      <c r="D568" s="55"/>
      <c r="E568" s="55">
        <v>633</v>
      </c>
      <c r="F568" s="8" t="s">
        <v>109</v>
      </c>
      <c r="G568" s="9"/>
      <c r="H568" s="9" t="s">
        <v>218</v>
      </c>
      <c r="I568" s="9"/>
      <c r="J568" s="9"/>
      <c r="K568" s="9"/>
      <c r="L568" s="46">
        <v>300</v>
      </c>
      <c r="M568" s="46">
        <v>78.01</v>
      </c>
      <c r="N568" s="519">
        <v>300</v>
      </c>
      <c r="O568" s="11">
        <f t="shared" si="32"/>
        <v>306</v>
      </c>
      <c r="P568" s="18">
        <f t="shared" si="33"/>
        <v>312</v>
      </c>
    </row>
    <row r="569" spans="1:16" ht="15">
      <c r="A569" s="106"/>
      <c r="B569" s="107"/>
      <c r="C569" s="96"/>
      <c r="D569" s="96"/>
      <c r="E569" s="96">
        <v>633</v>
      </c>
      <c r="F569" s="108" t="s">
        <v>45</v>
      </c>
      <c r="G569" s="10"/>
      <c r="H569" s="10" t="s">
        <v>235</v>
      </c>
      <c r="I569" s="10"/>
      <c r="J569" s="10"/>
      <c r="K569" s="10"/>
      <c r="L569" s="56">
        <v>150</v>
      </c>
      <c r="M569" s="56">
        <v>85.08</v>
      </c>
      <c r="N569" s="539">
        <v>150</v>
      </c>
      <c r="O569" s="11">
        <f t="shared" si="32"/>
        <v>153</v>
      </c>
      <c r="P569" s="18">
        <f t="shared" si="33"/>
        <v>156</v>
      </c>
    </row>
    <row r="570" spans="1:16" ht="15">
      <c r="A570" s="132"/>
      <c r="B570" s="7"/>
      <c r="C570" s="55"/>
      <c r="D570" s="55"/>
      <c r="E570" s="55">
        <v>633</v>
      </c>
      <c r="F570" s="8" t="s">
        <v>172</v>
      </c>
      <c r="G570" s="9"/>
      <c r="H570" s="9" t="s">
        <v>422</v>
      </c>
      <c r="I570" s="9"/>
      <c r="J570" s="9"/>
      <c r="K570" s="9"/>
      <c r="L570" s="46">
        <v>1922</v>
      </c>
      <c r="M570" s="46">
        <v>1922</v>
      </c>
      <c r="N570" s="519">
        <v>1600</v>
      </c>
      <c r="O570" s="11">
        <f t="shared" si="32"/>
        <v>1632</v>
      </c>
      <c r="P570" s="18">
        <f t="shared" si="33"/>
        <v>1664</v>
      </c>
    </row>
    <row r="571" spans="1:16" ht="15">
      <c r="A571" s="132"/>
      <c r="B571" s="7"/>
      <c r="C571" s="55"/>
      <c r="D571" s="55"/>
      <c r="E571" s="55">
        <v>634</v>
      </c>
      <c r="F571" s="8" t="s">
        <v>10</v>
      </c>
      <c r="G571" s="9"/>
      <c r="H571" s="9" t="s">
        <v>484</v>
      </c>
      <c r="I571" s="9"/>
      <c r="J571" s="9"/>
      <c r="K571" s="9"/>
      <c r="L571" s="46">
        <v>2822</v>
      </c>
      <c r="M571" s="46">
        <v>2821.7</v>
      </c>
      <c r="N571" s="519">
        <v>2500</v>
      </c>
      <c r="O571" s="11">
        <f t="shared" si="32"/>
        <v>2550</v>
      </c>
      <c r="P571" s="18">
        <f t="shared" si="33"/>
        <v>2600</v>
      </c>
    </row>
    <row r="572" spans="1:16" ht="15">
      <c r="A572" s="132"/>
      <c r="B572" s="7"/>
      <c r="C572" s="55"/>
      <c r="D572" s="55"/>
      <c r="E572" s="55">
        <v>634</v>
      </c>
      <c r="F572" s="8" t="s">
        <v>11</v>
      </c>
      <c r="G572" s="9"/>
      <c r="H572" s="9" t="s">
        <v>236</v>
      </c>
      <c r="I572" s="9"/>
      <c r="J572" s="9"/>
      <c r="K572" s="9"/>
      <c r="L572" s="46">
        <v>1500</v>
      </c>
      <c r="M572" s="46">
        <v>1172.31</v>
      </c>
      <c r="N572" s="519">
        <v>1500</v>
      </c>
      <c r="O572" s="11">
        <f t="shared" si="32"/>
        <v>1530</v>
      </c>
      <c r="P572" s="18">
        <f t="shared" si="33"/>
        <v>1560</v>
      </c>
    </row>
    <row r="573" spans="1:16" ht="15">
      <c r="A573" s="106"/>
      <c r="B573" s="107"/>
      <c r="C573" s="96"/>
      <c r="D573" s="96"/>
      <c r="E573" s="96">
        <v>634</v>
      </c>
      <c r="F573" s="108" t="s">
        <v>11</v>
      </c>
      <c r="G573" s="10"/>
      <c r="H573" s="10" t="s">
        <v>237</v>
      </c>
      <c r="I573" s="10"/>
      <c r="J573" s="10"/>
      <c r="K573" s="10"/>
      <c r="L573" s="56">
        <v>1000</v>
      </c>
      <c r="M573" s="56">
        <v>684.49</v>
      </c>
      <c r="N573" s="539">
        <v>1000</v>
      </c>
      <c r="O573" s="11">
        <f t="shared" si="32"/>
        <v>1020</v>
      </c>
      <c r="P573" s="18">
        <f t="shared" si="33"/>
        <v>1040</v>
      </c>
    </row>
    <row r="574" spans="1:16" ht="15">
      <c r="A574" s="132"/>
      <c r="B574" s="7"/>
      <c r="C574" s="55"/>
      <c r="D574" s="55"/>
      <c r="E574" s="55">
        <v>635</v>
      </c>
      <c r="F574" s="8" t="s">
        <v>11</v>
      </c>
      <c r="G574" s="9"/>
      <c r="H574" s="9" t="s">
        <v>238</v>
      </c>
      <c r="I574" s="9"/>
      <c r="J574" s="9"/>
      <c r="K574" s="9"/>
      <c r="L574" s="46">
        <v>400</v>
      </c>
      <c r="M574" s="46">
        <v>111</v>
      </c>
      <c r="N574" s="519">
        <v>400</v>
      </c>
      <c r="O574" s="11">
        <f t="shared" si="32"/>
        <v>408</v>
      </c>
      <c r="P574" s="18">
        <f t="shared" si="33"/>
        <v>416</v>
      </c>
    </row>
    <row r="575" spans="1:16" ht="15">
      <c r="A575" s="106"/>
      <c r="B575" s="107"/>
      <c r="C575" s="96"/>
      <c r="D575" s="96"/>
      <c r="E575" s="96">
        <v>635</v>
      </c>
      <c r="F575" s="108" t="s">
        <v>29</v>
      </c>
      <c r="G575" s="10"/>
      <c r="H575" s="10" t="s">
        <v>239</v>
      </c>
      <c r="I575" s="10"/>
      <c r="J575" s="10"/>
      <c r="K575" s="10"/>
      <c r="L575" s="56">
        <v>289</v>
      </c>
      <c r="M575" s="56">
        <v>288.8</v>
      </c>
      <c r="N575" s="539">
        <v>500</v>
      </c>
      <c r="O575" s="11">
        <f t="shared" si="32"/>
        <v>510</v>
      </c>
      <c r="P575" s="18">
        <f t="shared" si="33"/>
        <v>520</v>
      </c>
    </row>
    <row r="576" spans="1:16" ht="15">
      <c r="A576" s="132"/>
      <c r="B576" s="7"/>
      <c r="C576" s="55"/>
      <c r="D576" s="55"/>
      <c r="E576" s="55">
        <v>636</v>
      </c>
      <c r="F576" s="8" t="s">
        <v>10</v>
      </c>
      <c r="G576" s="9"/>
      <c r="H576" s="9" t="s">
        <v>513</v>
      </c>
      <c r="I576" s="9"/>
      <c r="J576" s="9"/>
      <c r="K576" s="9"/>
      <c r="L576" s="46">
        <v>0</v>
      </c>
      <c r="M576" s="46">
        <v>2</v>
      </c>
      <c r="N576" s="519">
        <v>2</v>
      </c>
      <c r="O576" s="11">
        <f t="shared" si="32"/>
        <v>2.04</v>
      </c>
      <c r="P576" s="18">
        <f t="shared" si="33"/>
        <v>2.08</v>
      </c>
    </row>
    <row r="577" spans="1:16" ht="15">
      <c r="A577" s="132"/>
      <c r="B577" s="7"/>
      <c r="C577" s="55"/>
      <c r="D577" s="55"/>
      <c r="E577" s="55">
        <v>636</v>
      </c>
      <c r="F577" s="8" t="s">
        <v>10</v>
      </c>
      <c r="G577" s="9"/>
      <c r="H577" s="9" t="s">
        <v>514</v>
      </c>
      <c r="I577" s="9"/>
      <c r="J577" s="9"/>
      <c r="K577" s="9"/>
      <c r="L577" s="46">
        <v>0</v>
      </c>
      <c r="M577" s="46">
        <v>123.45</v>
      </c>
      <c r="N577" s="519">
        <v>200</v>
      </c>
      <c r="O577" s="11">
        <f>N577+N577*$O$542</f>
        <v>204</v>
      </c>
      <c r="P577" s="18">
        <f>N577+N577*$P$542</f>
        <v>208</v>
      </c>
    </row>
    <row r="578" spans="1:16" ht="15">
      <c r="A578" s="106"/>
      <c r="B578" s="107"/>
      <c r="C578" s="96"/>
      <c r="D578" s="96"/>
      <c r="E578" s="96">
        <v>637</v>
      </c>
      <c r="F578" s="108" t="s">
        <v>10</v>
      </c>
      <c r="G578" s="10"/>
      <c r="H578" s="10" t="s">
        <v>220</v>
      </c>
      <c r="I578" s="10"/>
      <c r="J578" s="10"/>
      <c r="K578" s="10"/>
      <c r="L578" s="56">
        <v>650</v>
      </c>
      <c r="M578" s="56">
        <v>527</v>
      </c>
      <c r="N578" s="539">
        <v>700</v>
      </c>
      <c r="O578" s="11">
        <f t="shared" si="32"/>
        <v>714</v>
      </c>
      <c r="P578" s="18">
        <f t="shared" si="33"/>
        <v>728</v>
      </c>
    </row>
    <row r="579" spans="1:16" ht="15">
      <c r="A579" s="132"/>
      <c r="B579" s="7"/>
      <c r="C579" s="55"/>
      <c r="D579" s="55"/>
      <c r="E579" s="55">
        <v>637</v>
      </c>
      <c r="F579" s="8" t="s">
        <v>12</v>
      </c>
      <c r="G579" s="9"/>
      <c r="H579" s="9" t="s">
        <v>605</v>
      </c>
      <c r="I579" s="9"/>
      <c r="J579" s="9"/>
      <c r="K579" s="9"/>
      <c r="L579" s="46">
        <v>0</v>
      </c>
      <c r="M579" s="46">
        <v>159.84</v>
      </c>
      <c r="N579" s="519">
        <v>200</v>
      </c>
      <c r="O579" s="11">
        <f t="shared" si="32"/>
        <v>204</v>
      </c>
      <c r="P579" s="18">
        <f t="shared" si="33"/>
        <v>208</v>
      </c>
    </row>
    <row r="580" spans="1:16" ht="15">
      <c r="A580" s="132"/>
      <c r="B580" s="7"/>
      <c r="C580" s="55"/>
      <c r="D580" s="55"/>
      <c r="E580" s="55">
        <v>637</v>
      </c>
      <c r="F580" s="8" t="s">
        <v>13</v>
      </c>
      <c r="G580" s="9"/>
      <c r="H580" s="9" t="s">
        <v>34</v>
      </c>
      <c r="I580" s="9"/>
      <c r="J580" s="9"/>
      <c r="K580" s="9"/>
      <c r="L580" s="46">
        <v>3500</v>
      </c>
      <c r="M580" s="46">
        <v>2956.83</v>
      </c>
      <c r="N580" s="519">
        <v>3500</v>
      </c>
      <c r="O580" s="11">
        <f t="shared" si="32"/>
        <v>3570</v>
      </c>
      <c r="P580" s="18">
        <f t="shared" si="33"/>
        <v>3640</v>
      </c>
    </row>
    <row r="581" spans="1:16" ht="15">
      <c r="A581" s="132"/>
      <c r="B581" s="7"/>
      <c r="C581" s="55"/>
      <c r="D581" s="55"/>
      <c r="E581" s="55">
        <v>637</v>
      </c>
      <c r="F581" s="8" t="s">
        <v>19</v>
      </c>
      <c r="G581" s="9"/>
      <c r="H581" s="9" t="s">
        <v>606</v>
      </c>
      <c r="I581" s="9"/>
      <c r="J581" s="9"/>
      <c r="K581" s="9"/>
      <c r="L581" s="46">
        <v>0</v>
      </c>
      <c r="M581" s="46">
        <v>642.06</v>
      </c>
      <c r="N581" s="519">
        <v>200</v>
      </c>
      <c r="O581" s="11">
        <f>N581+N581*$O$542</f>
        <v>204</v>
      </c>
      <c r="P581" s="18">
        <f>N581+N581*$P$542</f>
        <v>208</v>
      </c>
    </row>
    <row r="582" spans="1:16" ht="15">
      <c r="A582" s="132"/>
      <c r="B582" s="7"/>
      <c r="C582" s="55"/>
      <c r="D582" s="55"/>
      <c r="E582" s="55">
        <v>637</v>
      </c>
      <c r="F582" s="8" t="s">
        <v>61</v>
      </c>
      <c r="G582" s="9"/>
      <c r="H582" s="9" t="s">
        <v>518</v>
      </c>
      <c r="I582" s="9"/>
      <c r="J582" s="9"/>
      <c r="K582" s="9"/>
      <c r="L582" s="46">
        <v>0</v>
      </c>
      <c r="M582" s="46">
        <v>1125.71</v>
      </c>
      <c r="N582" s="519">
        <v>1500</v>
      </c>
      <c r="O582" s="11">
        <f>N582+N582*$O$542</f>
        <v>1530</v>
      </c>
      <c r="P582" s="18">
        <f>N582+N582*$P$542</f>
        <v>1560</v>
      </c>
    </row>
    <row r="583" spans="1:16" ht="15">
      <c r="A583" s="106"/>
      <c r="B583" s="107"/>
      <c r="C583" s="96"/>
      <c r="D583" s="96"/>
      <c r="E583" s="96">
        <v>637</v>
      </c>
      <c r="F583" s="108" t="s">
        <v>67</v>
      </c>
      <c r="G583" s="10"/>
      <c r="H583" s="10" t="s">
        <v>240</v>
      </c>
      <c r="I583" s="10"/>
      <c r="J583" s="10"/>
      <c r="K583" s="10"/>
      <c r="L583" s="56">
        <v>26696</v>
      </c>
      <c r="M583" s="56">
        <v>26695.76</v>
      </c>
      <c r="N583" s="539">
        <v>20000</v>
      </c>
      <c r="O583" s="11">
        <f t="shared" si="32"/>
        <v>20400</v>
      </c>
      <c r="P583" s="18">
        <f t="shared" si="33"/>
        <v>20800</v>
      </c>
    </row>
    <row r="584" spans="1:16" ht="15">
      <c r="A584" s="132"/>
      <c r="B584" s="7"/>
      <c r="C584" s="55"/>
      <c r="D584" s="55"/>
      <c r="E584" s="55">
        <v>637</v>
      </c>
      <c r="F584" s="8" t="s">
        <v>76</v>
      </c>
      <c r="G584" s="9"/>
      <c r="H584" s="9" t="s">
        <v>194</v>
      </c>
      <c r="I584" s="9"/>
      <c r="J584" s="9"/>
      <c r="K584" s="9"/>
      <c r="L584" s="46">
        <v>1000</v>
      </c>
      <c r="M584" s="46">
        <v>651.67</v>
      </c>
      <c r="N584" s="519">
        <v>1000</v>
      </c>
      <c r="O584" s="11">
        <f t="shared" si="32"/>
        <v>1020</v>
      </c>
      <c r="P584" s="18">
        <f t="shared" si="33"/>
        <v>1040</v>
      </c>
    </row>
    <row r="585" spans="1:16" ht="15">
      <c r="A585" s="106"/>
      <c r="B585" s="107"/>
      <c r="C585" s="96"/>
      <c r="D585" s="96"/>
      <c r="E585" s="96">
        <v>637</v>
      </c>
      <c r="F585" s="108" t="s">
        <v>31</v>
      </c>
      <c r="G585" s="10"/>
      <c r="H585" s="10" t="s">
        <v>241</v>
      </c>
      <c r="I585" s="10"/>
      <c r="J585" s="10"/>
      <c r="K585" s="10"/>
      <c r="L585" s="56">
        <v>3000</v>
      </c>
      <c r="M585" s="56">
        <v>2534.51</v>
      </c>
      <c r="N585" s="539">
        <v>3000</v>
      </c>
      <c r="O585" s="11">
        <f t="shared" si="32"/>
        <v>3060</v>
      </c>
      <c r="P585" s="18">
        <f t="shared" si="33"/>
        <v>3120</v>
      </c>
    </row>
    <row r="586" spans="1:16" ht="15">
      <c r="A586" s="132"/>
      <c r="B586" s="7"/>
      <c r="C586" s="55"/>
      <c r="D586" s="55"/>
      <c r="E586" s="55">
        <v>637</v>
      </c>
      <c r="F586" s="8" t="s">
        <v>57</v>
      </c>
      <c r="G586" s="9"/>
      <c r="H586" s="9" t="s">
        <v>242</v>
      </c>
      <c r="I586" s="9"/>
      <c r="J586" s="9"/>
      <c r="K586" s="9"/>
      <c r="L586" s="46">
        <v>3631</v>
      </c>
      <c r="M586" s="46">
        <v>3630.42</v>
      </c>
      <c r="N586" s="519">
        <v>3000</v>
      </c>
      <c r="O586" s="11">
        <f t="shared" si="32"/>
        <v>3060</v>
      </c>
      <c r="P586" s="18">
        <f t="shared" si="33"/>
        <v>3120</v>
      </c>
    </row>
    <row r="587" spans="1:16" ht="15">
      <c r="A587" s="106"/>
      <c r="B587" s="107"/>
      <c r="C587" s="96"/>
      <c r="D587" s="96"/>
      <c r="E587" s="96">
        <v>642</v>
      </c>
      <c r="F587" s="108" t="s">
        <v>76</v>
      </c>
      <c r="G587" s="10"/>
      <c r="H587" s="10" t="s">
        <v>222</v>
      </c>
      <c r="I587" s="10"/>
      <c r="J587" s="10"/>
      <c r="K587" s="10"/>
      <c r="L587" s="56">
        <v>300</v>
      </c>
      <c r="M587" s="56">
        <v>0</v>
      </c>
      <c r="N587" s="539">
        <v>300</v>
      </c>
      <c r="O587" s="11">
        <f t="shared" si="32"/>
        <v>306</v>
      </c>
      <c r="P587" s="18">
        <f t="shared" si="33"/>
        <v>312</v>
      </c>
    </row>
    <row r="588" spans="1:16" ht="15">
      <c r="A588" s="6">
        <v>15</v>
      </c>
      <c r="B588" s="3">
        <v>1</v>
      </c>
      <c r="C588" s="523"/>
      <c r="D588" s="523"/>
      <c r="E588" s="523"/>
      <c r="F588" s="4"/>
      <c r="G588" s="5"/>
      <c r="H588" s="5" t="s">
        <v>423</v>
      </c>
      <c r="I588" s="5"/>
      <c r="J588" s="5"/>
      <c r="K588" s="5"/>
      <c r="L588" s="73">
        <f>SUM(L545:L587)</f>
        <v>161449</v>
      </c>
      <c r="M588" s="73">
        <f>SUM(M545:M587)</f>
        <v>152232.52000000005</v>
      </c>
      <c r="N588" s="520">
        <f>SUM(N545:N587)</f>
        <v>152661</v>
      </c>
      <c r="O588" s="14">
        <f t="shared" si="32"/>
        <v>155714.22</v>
      </c>
      <c r="P588" s="133">
        <f t="shared" si="33"/>
        <v>158767.44</v>
      </c>
    </row>
    <row r="589" spans="1:16" ht="15">
      <c r="A589" s="6">
        <v>15</v>
      </c>
      <c r="B589" s="3">
        <v>1</v>
      </c>
      <c r="C589" s="523">
        <v>2</v>
      </c>
      <c r="D589" s="523">
        <v>41</v>
      </c>
      <c r="E589" s="523">
        <v>714</v>
      </c>
      <c r="F589" s="4" t="s">
        <v>10</v>
      </c>
      <c r="G589" s="5"/>
      <c r="H589" s="5" t="s">
        <v>478</v>
      </c>
      <c r="I589" s="5"/>
      <c r="J589" s="5"/>
      <c r="K589" s="5"/>
      <c r="L589" s="73">
        <v>10000</v>
      </c>
      <c r="M589" s="73">
        <v>0</v>
      </c>
      <c r="N589" s="694">
        <v>3500</v>
      </c>
      <c r="O589" s="704">
        <v>3500</v>
      </c>
      <c r="P589" s="705">
        <v>3500</v>
      </c>
    </row>
    <row r="590" spans="1:16" ht="15">
      <c r="A590" s="6">
        <v>15</v>
      </c>
      <c r="B590" s="3">
        <v>1</v>
      </c>
      <c r="C590" s="523">
        <v>2</v>
      </c>
      <c r="D590" s="523">
        <v>41</v>
      </c>
      <c r="E590" s="523">
        <v>717</v>
      </c>
      <c r="F590" s="4" t="s">
        <v>11</v>
      </c>
      <c r="G590" s="5"/>
      <c r="H590" s="5" t="s">
        <v>481</v>
      </c>
      <c r="I590" s="5"/>
      <c r="J590" s="5"/>
      <c r="K590" s="5"/>
      <c r="L590" s="73">
        <v>15000</v>
      </c>
      <c r="M590" s="73">
        <v>7276.52</v>
      </c>
      <c r="N590" s="520">
        <v>0</v>
      </c>
      <c r="O590" s="14">
        <f t="shared" si="32"/>
        <v>0</v>
      </c>
      <c r="P590" s="133">
        <f t="shared" si="33"/>
        <v>0</v>
      </c>
    </row>
    <row r="591" spans="1:16" ht="15">
      <c r="A591" s="6"/>
      <c r="B591" s="3"/>
      <c r="C591" s="523"/>
      <c r="D591" s="523"/>
      <c r="E591" s="523"/>
      <c r="F591" s="4"/>
      <c r="G591" s="5"/>
      <c r="H591" s="5" t="s">
        <v>479</v>
      </c>
      <c r="I591" s="5"/>
      <c r="J591" s="5"/>
      <c r="K591" s="5"/>
      <c r="L591" s="73">
        <f>SUM(L589:L590)</f>
        <v>25000</v>
      </c>
      <c r="M591" s="73">
        <f>SUM(M589:M590)</f>
        <v>7276.52</v>
      </c>
      <c r="N591" s="520">
        <f>SUM(N589:N590)</f>
        <v>3500</v>
      </c>
      <c r="O591" s="14">
        <f t="shared" si="32"/>
        <v>3570</v>
      </c>
      <c r="P591" s="133">
        <f t="shared" si="33"/>
        <v>3640</v>
      </c>
    </row>
    <row r="592" spans="1:16" ht="15">
      <c r="A592" s="6">
        <v>15</v>
      </c>
      <c r="B592" s="3">
        <v>1</v>
      </c>
      <c r="C592" s="523">
        <v>2</v>
      </c>
      <c r="D592" s="523">
        <v>43</v>
      </c>
      <c r="E592" s="523">
        <v>717</v>
      </c>
      <c r="F592" s="4" t="s">
        <v>11</v>
      </c>
      <c r="G592" s="5"/>
      <c r="H592" s="5" t="s">
        <v>633</v>
      </c>
      <c r="I592" s="5"/>
      <c r="J592" s="5"/>
      <c r="K592" s="5"/>
      <c r="L592" s="73">
        <v>0</v>
      </c>
      <c r="M592" s="73">
        <v>55000.07</v>
      </c>
      <c r="N592" s="520">
        <v>15000</v>
      </c>
      <c r="O592" s="14">
        <f t="shared" si="32"/>
        <v>15300</v>
      </c>
      <c r="P592" s="133">
        <f t="shared" si="33"/>
        <v>15600</v>
      </c>
    </row>
    <row r="593" spans="1:16" ht="15">
      <c r="A593" s="19"/>
      <c r="B593" s="524"/>
      <c r="C593" s="521"/>
      <c r="D593" s="521"/>
      <c r="E593" s="521"/>
      <c r="F593" s="20"/>
      <c r="G593" s="21"/>
      <c r="H593" s="21"/>
      <c r="I593" s="21"/>
      <c r="J593" s="21"/>
      <c r="K593" s="21"/>
      <c r="L593" s="91"/>
      <c r="M593" s="91"/>
      <c r="N593" s="686"/>
      <c r="O593" s="29"/>
      <c r="P593" s="30"/>
    </row>
    <row r="594" spans="1:16" ht="15">
      <c r="A594" s="19">
        <v>15</v>
      </c>
      <c r="B594" s="524">
        <v>2</v>
      </c>
      <c r="C594" s="521" t="s">
        <v>25</v>
      </c>
      <c r="D594" s="521"/>
      <c r="E594" s="521"/>
      <c r="F594" s="20"/>
      <c r="G594" s="20" t="s">
        <v>243</v>
      </c>
      <c r="H594" s="21"/>
      <c r="I594" s="21"/>
      <c r="J594" s="10"/>
      <c r="K594" s="10"/>
      <c r="L594" s="56"/>
      <c r="M594" s="56"/>
      <c r="N594" s="539"/>
      <c r="O594" s="12">
        <f t="shared" si="32"/>
        <v>0</v>
      </c>
      <c r="P594" s="22">
        <f t="shared" si="33"/>
        <v>0</v>
      </c>
    </row>
    <row r="595" spans="1:18" ht="15">
      <c r="A595" s="132">
        <v>15</v>
      </c>
      <c r="B595" s="7">
        <v>2</v>
      </c>
      <c r="C595" s="55">
        <v>1</v>
      </c>
      <c r="D595" s="55">
        <v>41</v>
      </c>
      <c r="E595" s="55">
        <v>637</v>
      </c>
      <c r="F595" s="8" t="s">
        <v>61</v>
      </c>
      <c r="G595" s="9"/>
      <c r="H595" s="9" t="s">
        <v>243</v>
      </c>
      <c r="I595" s="9"/>
      <c r="J595" s="9"/>
      <c r="K595" s="9"/>
      <c r="L595" s="46">
        <v>2000</v>
      </c>
      <c r="M595" s="46">
        <v>3617.61</v>
      </c>
      <c r="N595" s="519">
        <v>2000</v>
      </c>
      <c r="O595" s="11">
        <f t="shared" si="32"/>
        <v>2040</v>
      </c>
      <c r="P595" s="18">
        <f t="shared" si="33"/>
        <v>2080</v>
      </c>
      <c r="R595" s="24" t="s">
        <v>705</v>
      </c>
    </row>
    <row r="596" spans="1:16" ht="15">
      <c r="A596" s="19">
        <v>15</v>
      </c>
      <c r="B596" s="524">
        <v>2</v>
      </c>
      <c r="C596" s="521"/>
      <c r="D596" s="521"/>
      <c r="E596" s="521"/>
      <c r="F596" s="20"/>
      <c r="G596" s="21"/>
      <c r="H596" s="21" t="s">
        <v>244</v>
      </c>
      <c r="I596" s="21"/>
      <c r="J596" s="21"/>
      <c r="K596" s="21"/>
      <c r="L596" s="91">
        <f>L595</f>
        <v>2000</v>
      </c>
      <c r="M596" s="91">
        <f>M595</f>
        <v>3617.61</v>
      </c>
      <c r="N596" s="686">
        <f>N595</f>
        <v>2000</v>
      </c>
      <c r="O596" s="14">
        <f t="shared" si="32"/>
        <v>2040</v>
      </c>
      <c r="P596" s="133">
        <f t="shared" si="33"/>
        <v>2080</v>
      </c>
    </row>
    <row r="597" spans="1:16" ht="15">
      <c r="A597" s="264">
        <v>15</v>
      </c>
      <c r="B597" s="193"/>
      <c r="C597" s="194"/>
      <c r="D597" s="194"/>
      <c r="E597" s="194"/>
      <c r="F597" s="265"/>
      <c r="G597" s="196"/>
      <c r="H597" s="196" t="s">
        <v>245</v>
      </c>
      <c r="I597" s="196"/>
      <c r="J597" s="196"/>
      <c r="K597" s="196"/>
      <c r="L597" s="440">
        <f>L588+L591+L592+L596</f>
        <v>188449</v>
      </c>
      <c r="M597" s="440">
        <f>M588+M591+M592+M596</f>
        <v>218126.72000000003</v>
      </c>
      <c r="N597" s="688">
        <f>N588+N591+N596+N592</f>
        <v>173161</v>
      </c>
      <c r="O597" s="199">
        <f t="shared" si="32"/>
        <v>176624.22</v>
      </c>
      <c r="P597" s="200">
        <f t="shared" si="33"/>
        <v>180087.44</v>
      </c>
    </row>
    <row r="598" spans="1:16" ht="15">
      <c r="A598" s="132"/>
      <c r="B598" s="7"/>
      <c r="C598" s="55"/>
      <c r="D598" s="55"/>
      <c r="E598" s="55"/>
      <c r="F598" s="8"/>
      <c r="G598" s="9"/>
      <c r="H598" s="9"/>
      <c r="I598" s="9"/>
      <c r="J598" s="9"/>
      <c r="K598" s="9"/>
      <c r="L598" s="46"/>
      <c r="M598" s="46"/>
      <c r="N598" s="519"/>
      <c r="O598" s="11"/>
      <c r="P598" s="18"/>
    </row>
    <row r="599" spans="1:16" ht="15">
      <c r="A599" s="19">
        <v>16</v>
      </c>
      <c r="B599" s="738" t="s">
        <v>24</v>
      </c>
      <c r="C599" s="738"/>
      <c r="D599" s="738"/>
      <c r="E599" s="738"/>
      <c r="F599" s="20" t="s">
        <v>246</v>
      </c>
      <c r="G599" s="21"/>
      <c r="H599" s="21"/>
      <c r="I599" s="21"/>
      <c r="J599" s="10"/>
      <c r="K599" s="10"/>
      <c r="L599" s="56"/>
      <c r="M599" s="56"/>
      <c r="N599" s="539"/>
      <c r="O599" s="13"/>
      <c r="P599" s="17"/>
    </row>
    <row r="600" spans="1:16" ht="15">
      <c r="A600" s="6">
        <v>16</v>
      </c>
      <c r="B600" s="3">
        <v>1</v>
      </c>
      <c r="C600" s="523" t="s">
        <v>25</v>
      </c>
      <c r="D600" s="523"/>
      <c r="E600" s="523"/>
      <c r="F600" s="4"/>
      <c r="G600" s="4" t="s">
        <v>247</v>
      </c>
      <c r="H600" s="5"/>
      <c r="I600" s="5"/>
      <c r="J600" s="9"/>
      <c r="K600" s="9"/>
      <c r="L600" s="46"/>
      <c r="M600" s="46"/>
      <c r="N600" s="519"/>
      <c r="O600" s="11"/>
      <c r="P600" s="18"/>
    </row>
    <row r="601" spans="1:16" ht="15">
      <c r="A601" s="106" t="s">
        <v>0</v>
      </c>
      <c r="B601" s="107" t="s">
        <v>1</v>
      </c>
      <c r="C601" s="96" t="s">
        <v>2</v>
      </c>
      <c r="D601" s="96" t="s">
        <v>3</v>
      </c>
      <c r="E601" s="96" t="s">
        <v>4</v>
      </c>
      <c r="F601" s="108" t="s">
        <v>5</v>
      </c>
      <c r="G601" s="10" t="s">
        <v>6</v>
      </c>
      <c r="H601" s="10" t="s">
        <v>7</v>
      </c>
      <c r="I601" s="10"/>
      <c r="J601" s="10"/>
      <c r="K601" s="10"/>
      <c r="L601" s="56"/>
      <c r="M601" s="56"/>
      <c r="N601" s="539"/>
      <c r="O601" s="13"/>
      <c r="P601" s="17"/>
    </row>
    <row r="602" spans="1:16" ht="15">
      <c r="A602" s="132">
        <v>16</v>
      </c>
      <c r="B602" s="7">
        <v>1</v>
      </c>
      <c r="C602" s="55">
        <v>1</v>
      </c>
      <c r="D602" s="55">
        <v>41</v>
      </c>
      <c r="E602" s="55">
        <v>651</v>
      </c>
      <c r="F602" s="8" t="s">
        <v>11</v>
      </c>
      <c r="G602" s="55">
        <v>2</v>
      </c>
      <c r="H602" s="9" t="s">
        <v>248</v>
      </c>
      <c r="I602" s="9"/>
      <c r="J602" s="9"/>
      <c r="K602" s="9"/>
      <c r="L602" s="46">
        <v>6690</v>
      </c>
      <c r="M602" s="46">
        <v>3358.32</v>
      </c>
      <c r="N602" s="519">
        <v>6690</v>
      </c>
      <c r="O602" s="11">
        <v>6690</v>
      </c>
      <c r="P602" s="18">
        <v>6690</v>
      </c>
    </row>
    <row r="603" spans="1:16" ht="15">
      <c r="A603" s="106"/>
      <c r="B603" s="107"/>
      <c r="C603" s="96"/>
      <c r="D603" s="96"/>
      <c r="E603" s="96">
        <v>651</v>
      </c>
      <c r="F603" s="108" t="s">
        <v>11</v>
      </c>
      <c r="G603" s="10">
        <v>3</v>
      </c>
      <c r="H603" s="10" t="s">
        <v>251</v>
      </c>
      <c r="I603" s="10"/>
      <c r="J603" s="10"/>
      <c r="K603" s="10"/>
      <c r="L603" s="56">
        <v>4600</v>
      </c>
      <c r="M603" s="56">
        <v>2342.46</v>
      </c>
      <c r="N603" s="539">
        <v>4600</v>
      </c>
      <c r="O603" s="13">
        <v>4600</v>
      </c>
      <c r="P603" s="17">
        <v>4600</v>
      </c>
    </row>
    <row r="604" spans="1:16" ht="15">
      <c r="A604" s="132"/>
      <c r="B604" s="7"/>
      <c r="C604" s="55"/>
      <c r="D604" s="55"/>
      <c r="E604" s="55">
        <v>651</v>
      </c>
      <c r="F604" s="8" t="s">
        <v>11</v>
      </c>
      <c r="G604" s="9">
        <v>4</v>
      </c>
      <c r="H604" s="9" t="s">
        <v>249</v>
      </c>
      <c r="I604" s="9"/>
      <c r="J604" s="9"/>
      <c r="K604" s="9"/>
      <c r="L604" s="46">
        <v>2480</v>
      </c>
      <c r="M604" s="46">
        <v>2490</v>
      </c>
      <c r="N604" s="519">
        <v>2480</v>
      </c>
      <c r="O604" s="11">
        <v>2480</v>
      </c>
      <c r="P604" s="18">
        <v>2480</v>
      </c>
    </row>
    <row r="605" spans="1:16" ht="15">
      <c r="A605" s="132"/>
      <c r="B605" s="7"/>
      <c r="C605" s="55"/>
      <c r="D605" s="55"/>
      <c r="E605" s="55">
        <v>651</v>
      </c>
      <c r="F605" s="8" t="s">
        <v>11</v>
      </c>
      <c r="G605" s="9">
        <v>5</v>
      </c>
      <c r="H605" s="9" t="s">
        <v>250</v>
      </c>
      <c r="I605" s="9"/>
      <c r="J605" s="9"/>
      <c r="K605" s="9"/>
      <c r="L605" s="46">
        <v>7990</v>
      </c>
      <c r="M605" s="46">
        <v>10500</v>
      </c>
      <c r="N605" s="519">
        <v>7990</v>
      </c>
      <c r="O605" s="11">
        <v>7990</v>
      </c>
      <c r="P605" s="18">
        <v>7990</v>
      </c>
    </row>
    <row r="606" spans="1:16" ht="15">
      <c r="A606" s="157"/>
      <c r="B606" s="158"/>
      <c r="C606" s="118"/>
      <c r="D606" s="118"/>
      <c r="E606" s="118">
        <v>651</v>
      </c>
      <c r="F606" s="159" t="s">
        <v>11</v>
      </c>
      <c r="G606" s="117">
        <v>6</v>
      </c>
      <c r="H606" s="117" t="s">
        <v>252</v>
      </c>
      <c r="I606" s="117"/>
      <c r="J606" s="117"/>
      <c r="K606" s="117"/>
      <c r="L606" s="86">
        <v>12780</v>
      </c>
      <c r="M606" s="86">
        <v>12133.29</v>
      </c>
      <c r="N606" s="683">
        <v>12780</v>
      </c>
      <c r="O606" s="12">
        <v>12780</v>
      </c>
      <c r="P606" s="22">
        <v>12780</v>
      </c>
    </row>
    <row r="607" spans="1:16" ht="15">
      <c r="A607" s="106"/>
      <c r="B607" s="107"/>
      <c r="C607" s="96"/>
      <c r="D607" s="96"/>
      <c r="E607" s="96">
        <v>651</v>
      </c>
      <c r="F607" s="108" t="s">
        <v>11</v>
      </c>
      <c r="G607" s="10">
        <v>7</v>
      </c>
      <c r="H607" s="10" t="s">
        <v>253</v>
      </c>
      <c r="I607" s="10"/>
      <c r="J607" s="10"/>
      <c r="K607" s="10"/>
      <c r="L607" s="56">
        <v>4680</v>
      </c>
      <c r="M607" s="56">
        <v>4400</v>
      </c>
      <c r="N607" s="539">
        <v>4680</v>
      </c>
      <c r="O607" s="13">
        <v>4680</v>
      </c>
      <c r="P607" s="17">
        <v>4680</v>
      </c>
    </row>
    <row r="608" spans="1:16" ht="15">
      <c r="A608" s="160">
        <v>16</v>
      </c>
      <c r="B608" s="3">
        <v>1</v>
      </c>
      <c r="C608" s="523"/>
      <c r="D608" s="523"/>
      <c r="E608" s="523"/>
      <c r="F608" s="4"/>
      <c r="G608" s="5"/>
      <c r="H608" s="5" t="s">
        <v>254</v>
      </c>
      <c r="I608" s="5"/>
      <c r="J608" s="5"/>
      <c r="K608" s="5"/>
      <c r="L608" s="73">
        <f>SUM(L602:L607)</f>
        <v>39220</v>
      </c>
      <c r="M608" s="73">
        <f>SUM(M602:M607)</f>
        <v>35224.07</v>
      </c>
      <c r="N608" s="520">
        <f>SUM(N602:N607)</f>
        <v>39220</v>
      </c>
      <c r="O608" s="14">
        <f>SUM(O602:O607)</f>
        <v>39220</v>
      </c>
      <c r="P608" s="133">
        <f>SUM(P602:P607)</f>
        <v>39220</v>
      </c>
    </row>
    <row r="609" spans="1:16" ht="15">
      <c r="A609" s="266">
        <v>16</v>
      </c>
      <c r="B609" s="267">
        <v>2</v>
      </c>
      <c r="C609" s="268" t="s">
        <v>25</v>
      </c>
      <c r="D609" s="268"/>
      <c r="E609" s="268"/>
      <c r="F609" s="269"/>
      <c r="G609" s="269" t="s">
        <v>425</v>
      </c>
      <c r="H609" s="270"/>
      <c r="I609" s="270"/>
      <c r="J609" s="117"/>
      <c r="K609" s="117"/>
      <c r="L609" s="86"/>
      <c r="M609" s="86"/>
      <c r="N609" s="683"/>
      <c r="O609" s="12"/>
      <c r="P609" s="22"/>
    </row>
    <row r="610" spans="1:16" ht="15">
      <c r="A610" s="106">
        <v>16</v>
      </c>
      <c r="B610" s="107">
        <v>2</v>
      </c>
      <c r="C610" s="96">
        <v>3</v>
      </c>
      <c r="D610" s="96">
        <v>51</v>
      </c>
      <c r="E610" s="96">
        <v>821</v>
      </c>
      <c r="F610" s="108" t="s">
        <v>21</v>
      </c>
      <c r="G610" s="96">
        <v>2</v>
      </c>
      <c r="H610" s="10" t="s">
        <v>255</v>
      </c>
      <c r="I610" s="10"/>
      <c r="J610" s="10" t="s">
        <v>256</v>
      </c>
      <c r="K610" s="10"/>
      <c r="L610" s="56">
        <v>4050</v>
      </c>
      <c r="M610" s="56">
        <v>8277.18</v>
      </c>
      <c r="N610" s="539">
        <v>4050</v>
      </c>
      <c r="O610" s="13">
        <v>4050</v>
      </c>
      <c r="P610" s="17">
        <v>4050</v>
      </c>
    </row>
    <row r="611" spans="1:16" ht="15">
      <c r="A611" s="132"/>
      <c r="B611" s="7"/>
      <c r="C611" s="55"/>
      <c r="D611" s="55"/>
      <c r="E611" s="55">
        <v>821</v>
      </c>
      <c r="F611" s="8" t="s">
        <v>21</v>
      </c>
      <c r="G611" s="9">
        <v>4</v>
      </c>
      <c r="H611" s="9" t="s">
        <v>255</v>
      </c>
      <c r="I611" s="9"/>
      <c r="J611" s="9" t="s">
        <v>257</v>
      </c>
      <c r="K611" s="9"/>
      <c r="L611" s="46">
        <v>5980</v>
      </c>
      <c r="M611" s="46">
        <v>8080.05</v>
      </c>
      <c r="N611" s="519">
        <v>5980</v>
      </c>
      <c r="O611" s="11">
        <v>5980</v>
      </c>
      <c r="P611" s="18">
        <v>5980</v>
      </c>
    </row>
    <row r="612" spans="1:16" ht="15">
      <c r="A612" s="132"/>
      <c r="B612" s="7"/>
      <c r="C612" s="55"/>
      <c r="D612" s="55"/>
      <c r="E612" s="55">
        <v>821</v>
      </c>
      <c r="F612" s="8" t="s">
        <v>21</v>
      </c>
      <c r="G612" s="9">
        <v>5</v>
      </c>
      <c r="H612" s="9" t="s">
        <v>255</v>
      </c>
      <c r="I612" s="9"/>
      <c r="J612" s="9" t="s">
        <v>215</v>
      </c>
      <c r="K612" s="9"/>
      <c r="L612" s="46">
        <v>10490</v>
      </c>
      <c r="M612" s="46">
        <v>11121.89</v>
      </c>
      <c r="N612" s="519">
        <v>10490</v>
      </c>
      <c r="O612" s="11">
        <v>10490</v>
      </c>
      <c r="P612" s="18">
        <v>10490</v>
      </c>
    </row>
    <row r="613" spans="1:16" ht="15">
      <c r="A613" s="106"/>
      <c r="B613" s="107"/>
      <c r="C613" s="96"/>
      <c r="D613" s="96"/>
      <c r="E613" s="96">
        <v>821</v>
      </c>
      <c r="F613" s="108" t="s">
        <v>21</v>
      </c>
      <c r="G613" s="10">
        <v>7</v>
      </c>
      <c r="H613" s="10" t="s">
        <v>255</v>
      </c>
      <c r="I613" s="10"/>
      <c r="J613" s="10" t="s">
        <v>258</v>
      </c>
      <c r="K613" s="10"/>
      <c r="L613" s="56">
        <v>14580</v>
      </c>
      <c r="M613" s="56">
        <v>15425</v>
      </c>
      <c r="N613" s="539">
        <v>14580</v>
      </c>
      <c r="O613" s="13">
        <v>14580</v>
      </c>
      <c r="P613" s="17">
        <v>14580</v>
      </c>
    </row>
    <row r="614" spans="1:16" ht="15">
      <c r="A614" s="6">
        <v>16</v>
      </c>
      <c r="B614" s="3">
        <v>2</v>
      </c>
      <c r="C614" s="523"/>
      <c r="D614" s="523"/>
      <c r="E614" s="523"/>
      <c r="F614" s="4"/>
      <c r="G614" s="5"/>
      <c r="H614" s="5" t="s">
        <v>259</v>
      </c>
      <c r="I614" s="5"/>
      <c r="J614" s="5"/>
      <c r="K614" s="5"/>
      <c r="L614" s="73">
        <f>SUM(L610:L613)</f>
        <v>35100</v>
      </c>
      <c r="M614" s="73">
        <f>SUM(M610:M613)</f>
        <v>42904.119999999995</v>
      </c>
      <c r="N614" s="520">
        <f>SUM(N610:N613)</f>
        <v>35100</v>
      </c>
      <c r="O614" s="14">
        <f>SUM(O610:O613)</f>
        <v>35100</v>
      </c>
      <c r="P614" s="133">
        <f>SUM(P610:P613)</f>
        <v>35100</v>
      </c>
    </row>
    <row r="615" spans="1:16" ht="15">
      <c r="A615" s="19">
        <v>16</v>
      </c>
      <c r="B615" s="524">
        <v>2</v>
      </c>
      <c r="C615" s="521" t="s">
        <v>25</v>
      </c>
      <c r="D615" s="521"/>
      <c r="E615" s="521"/>
      <c r="F615" s="20"/>
      <c r="G615" s="20" t="s">
        <v>426</v>
      </c>
      <c r="H615" s="21"/>
      <c r="I615" s="10"/>
      <c r="J615" s="10"/>
      <c r="K615" s="10"/>
      <c r="L615" s="56"/>
      <c r="M615" s="56"/>
      <c r="N615" s="539"/>
      <c r="O615" s="13"/>
      <c r="P615" s="17"/>
    </row>
    <row r="616" spans="1:16" ht="15">
      <c r="A616" s="132">
        <v>16</v>
      </c>
      <c r="B616" s="7">
        <v>2</v>
      </c>
      <c r="C616" s="55">
        <v>3</v>
      </c>
      <c r="D616" s="55">
        <v>52</v>
      </c>
      <c r="E616" s="55">
        <v>821</v>
      </c>
      <c r="F616" s="8" t="s">
        <v>19</v>
      </c>
      <c r="G616" s="55">
        <v>3</v>
      </c>
      <c r="H616" s="9" t="s">
        <v>260</v>
      </c>
      <c r="I616" s="9"/>
      <c r="J616" s="9" t="s">
        <v>215</v>
      </c>
      <c r="K616" s="9"/>
      <c r="L616" s="46">
        <v>17551</v>
      </c>
      <c r="M616" s="46">
        <v>18886.71</v>
      </c>
      <c r="N616" s="519">
        <v>17551</v>
      </c>
      <c r="O616" s="11">
        <v>17551</v>
      </c>
      <c r="P616" s="18">
        <v>17551</v>
      </c>
    </row>
    <row r="617" spans="1:16" ht="15">
      <c r="A617" s="106"/>
      <c r="B617" s="107"/>
      <c r="C617" s="96"/>
      <c r="D617" s="96"/>
      <c r="E617" s="96">
        <v>821</v>
      </c>
      <c r="F617" s="108" t="s">
        <v>19</v>
      </c>
      <c r="G617" s="10">
        <v>6</v>
      </c>
      <c r="H617" s="10" t="s">
        <v>261</v>
      </c>
      <c r="I617" s="10"/>
      <c r="J617" s="10" t="s">
        <v>258</v>
      </c>
      <c r="K617" s="10"/>
      <c r="L617" s="56">
        <v>21266</v>
      </c>
      <c r="M617" s="56">
        <v>21266.28</v>
      </c>
      <c r="N617" s="539">
        <v>21266</v>
      </c>
      <c r="O617" s="13">
        <v>21266</v>
      </c>
      <c r="P617" s="17">
        <v>21266</v>
      </c>
    </row>
    <row r="618" spans="1:16" ht="15">
      <c r="A618" s="6">
        <v>16</v>
      </c>
      <c r="B618" s="3">
        <v>2</v>
      </c>
      <c r="C618" s="523"/>
      <c r="D618" s="523"/>
      <c r="E618" s="523"/>
      <c r="F618" s="4"/>
      <c r="G618" s="5"/>
      <c r="H618" s="5" t="s">
        <v>262</v>
      </c>
      <c r="I618" s="5"/>
      <c r="J618" s="5"/>
      <c r="K618" s="5"/>
      <c r="L618" s="73">
        <f>SUM(L616:L617)</f>
        <v>38817</v>
      </c>
      <c r="M618" s="73">
        <f>SUM(M616:M617)</f>
        <v>40152.99</v>
      </c>
      <c r="N618" s="520">
        <f>SUM(N616:N617)</f>
        <v>38817</v>
      </c>
      <c r="O618" s="14">
        <f>SUM(O616:O617)</f>
        <v>38817</v>
      </c>
      <c r="P618" s="133">
        <f>SUM(P616:P617)</f>
        <v>38817</v>
      </c>
    </row>
    <row r="619" spans="1:16" ht="15">
      <c r="A619" s="19">
        <v>16</v>
      </c>
      <c r="B619" s="524">
        <v>2</v>
      </c>
      <c r="C619" s="521">
        <v>3</v>
      </c>
      <c r="D619" s="521"/>
      <c r="E619" s="521"/>
      <c r="F619" s="20"/>
      <c r="G619" s="21"/>
      <c r="H619" s="21" t="s">
        <v>329</v>
      </c>
      <c r="I619" s="21"/>
      <c r="J619" s="21"/>
      <c r="K619" s="21"/>
      <c r="L619" s="91">
        <f>L614+L618</f>
        <v>73917</v>
      </c>
      <c r="M619" s="91">
        <f>M614+M618</f>
        <v>83057.10999999999</v>
      </c>
      <c r="N619" s="686">
        <f>N614+N618</f>
        <v>73917</v>
      </c>
      <c r="O619" s="15">
        <f>O614+O618</f>
        <v>73917</v>
      </c>
      <c r="P619" s="176">
        <f>P614+P618</f>
        <v>73917</v>
      </c>
    </row>
    <row r="620" spans="1:16" ht="15.75" thickBot="1">
      <c r="A620" s="271">
        <v>16</v>
      </c>
      <c r="B620" s="272"/>
      <c r="C620" s="273"/>
      <c r="D620" s="273"/>
      <c r="E620" s="273"/>
      <c r="F620" s="274"/>
      <c r="G620" s="275"/>
      <c r="H620" s="275" t="s">
        <v>432</v>
      </c>
      <c r="I620" s="275"/>
      <c r="J620" s="275"/>
      <c r="K620" s="275"/>
      <c r="L620" s="449">
        <f>L608+L619</f>
        <v>113137</v>
      </c>
      <c r="M620" s="449">
        <f>M608+M619</f>
        <v>118281.18</v>
      </c>
      <c r="N620" s="696">
        <f>N608+N614+N618</f>
        <v>113137</v>
      </c>
      <c r="O620" s="276">
        <f>O608+O619</f>
        <v>113137</v>
      </c>
      <c r="P620" s="277">
        <f>P608+P619</f>
        <v>113137</v>
      </c>
    </row>
    <row r="621" ht="15.75" thickBot="1"/>
    <row r="622" spans="1:16" ht="15">
      <c r="A622" s="332"/>
      <c r="B622" s="333"/>
      <c r="C622" s="334"/>
      <c r="D622" s="334"/>
      <c r="E622" s="334"/>
      <c r="F622" s="335"/>
      <c r="G622" s="336"/>
      <c r="H622" s="337" t="s">
        <v>367</v>
      </c>
      <c r="I622" s="336"/>
      <c r="J622" s="336"/>
      <c r="K622" s="336"/>
      <c r="L622" s="450"/>
      <c r="M622" s="450"/>
      <c r="N622" s="679"/>
      <c r="O622" s="338">
        <v>0.02</v>
      </c>
      <c r="P622" s="339">
        <v>0.04</v>
      </c>
    </row>
    <row r="623" spans="1:16" ht="15">
      <c r="A623" s="106"/>
      <c r="B623" s="107"/>
      <c r="C623" s="96"/>
      <c r="D623" s="96"/>
      <c r="E623" s="96"/>
      <c r="F623" s="108"/>
      <c r="G623" s="10"/>
      <c r="H623" s="10" t="s">
        <v>281</v>
      </c>
      <c r="I623" s="10"/>
      <c r="J623" s="10"/>
      <c r="K623" s="10"/>
      <c r="L623" s="56">
        <v>294184</v>
      </c>
      <c r="M623" s="56">
        <v>294184</v>
      </c>
      <c r="N623" s="539">
        <f>'PR-10'!N97</f>
        <v>304870</v>
      </c>
      <c r="O623" s="11">
        <f aca="true" t="shared" si="34" ref="O623:O633">N623+N623*$O$622</f>
        <v>310967.4</v>
      </c>
      <c r="P623" s="18">
        <f aca="true" t="shared" si="35" ref="P623:P633">N623+N623*$P$622</f>
        <v>317064.8</v>
      </c>
    </row>
    <row r="624" spans="1:16" ht="15">
      <c r="A624" s="132"/>
      <c r="B624" s="7"/>
      <c r="C624" s="55"/>
      <c r="D624" s="55"/>
      <c r="E624" s="55"/>
      <c r="F624" s="8"/>
      <c r="G624" s="9"/>
      <c r="H624" s="9" t="s">
        <v>277</v>
      </c>
      <c r="I624" s="9"/>
      <c r="J624" s="9"/>
      <c r="K624" s="9"/>
      <c r="L624" s="46">
        <v>3711</v>
      </c>
      <c r="M624" s="46">
        <v>3711</v>
      </c>
      <c r="N624" s="519">
        <f>'PR-10'!N98</f>
        <v>3292</v>
      </c>
      <c r="O624" s="11">
        <f t="shared" si="34"/>
        <v>3357.84</v>
      </c>
      <c r="P624" s="18">
        <f t="shared" si="35"/>
        <v>3423.68</v>
      </c>
    </row>
    <row r="625" spans="1:16" ht="15">
      <c r="A625" s="106"/>
      <c r="B625" s="107"/>
      <c r="C625" s="96"/>
      <c r="D625" s="96"/>
      <c r="E625" s="96"/>
      <c r="F625" s="108"/>
      <c r="G625" s="10"/>
      <c r="H625" s="10" t="s">
        <v>278</v>
      </c>
      <c r="I625" s="10"/>
      <c r="J625" s="10"/>
      <c r="K625" s="10"/>
      <c r="L625" s="56">
        <v>6722</v>
      </c>
      <c r="M625" s="56">
        <v>6722</v>
      </c>
      <c r="N625" s="539">
        <f>'PR-10'!N99</f>
        <v>6406</v>
      </c>
      <c r="O625" s="11">
        <f t="shared" si="34"/>
        <v>6534.12</v>
      </c>
      <c r="P625" s="18">
        <f t="shared" si="35"/>
        <v>6662.24</v>
      </c>
    </row>
    <row r="626" spans="1:16" ht="15">
      <c r="A626" s="132"/>
      <c r="B626" s="7"/>
      <c r="C626" s="55"/>
      <c r="D626" s="55"/>
      <c r="E626" s="55"/>
      <c r="F626" s="8"/>
      <c r="G626" s="9"/>
      <c r="H626" s="9" t="s">
        <v>362</v>
      </c>
      <c r="I626" s="9"/>
      <c r="J626" s="9"/>
      <c r="K626" s="9"/>
      <c r="L626" s="46">
        <v>470.55</v>
      </c>
      <c r="M626" s="46">
        <v>470.55</v>
      </c>
      <c r="N626" s="519">
        <f>'PR-10'!N100</f>
        <v>500</v>
      </c>
      <c r="O626" s="11">
        <f t="shared" si="34"/>
        <v>510</v>
      </c>
      <c r="P626" s="18">
        <f t="shared" si="35"/>
        <v>520</v>
      </c>
    </row>
    <row r="627" spans="1:17" ht="15">
      <c r="A627" s="106"/>
      <c r="B627" s="107"/>
      <c r="C627" s="96"/>
      <c r="D627" s="96"/>
      <c r="E627" s="96"/>
      <c r="F627" s="108"/>
      <c r="G627" s="10"/>
      <c r="H627" s="10" t="s">
        <v>279</v>
      </c>
      <c r="I627" s="10"/>
      <c r="J627" s="10"/>
      <c r="K627" s="10"/>
      <c r="L627" s="56">
        <v>99.6</v>
      </c>
      <c r="M627" s="56">
        <v>99.6</v>
      </c>
      <c r="N627" s="539">
        <f>'PR-10'!N101</f>
        <v>132</v>
      </c>
      <c r="O627" s="12">
        <f t="shared" si="34"/>
        <v>134.64</v>
      </c>
      <c r="P627" s="22">
        <f t="shared" si="35"/>
        <v>137.28</v>
      </c>
      <c r="Q627" s="86"/>
    </row>
    <row r="628" spans="1:18" ht="15">
      <c r="A628" s="132"/>
      <c r="B628" s="7"/>
      <c r="C628" s="55"/>
      <c r="D628" s="55"/>
      <c r="E628" s="55"/>
      <c r="F628" s="8"/>
      <c r="G628" s="9"/>
      <c r="H628" s="9" t="s">
        <v>280</v>
      </c>
      <c r="I628" s="9"/>
      <c r="J628" s="9"/>
      <c r="K628" s="9"/>
      <c r="L628" s="46">
        <v>5091</v>
      </c>
      <c r="M628" s="46">
        <v>5091</v>
      </c>
      <c r="N628" s="519">
        <f>'PR-10'!N102</f>
        <v>5100</v>
      </c>
      <c r="O628" s="110">
        <f t="shared" si="34"/>
        <v>5202</v>
      </c>
      <c r="P628" s="18">
        <f t="shared" si="35"/>
        <v>5304</v>
      </c>
      <c r="R628" s="24" t="s">
        <v>706</v>
      </c>
    </row>
    <row r="629" spans="1:16" ht="15">
      <c r="A629" s="106"/>
      <c r="B629" s="107"/>
      <c r="C629" s="96"/>
      <c r="D629" s="96"/>
      <c r="E629" s="96"/>
      <c r="F629" s="108"/>
      <c r="G629" s="10"/>
      <c r="H629" s="10" t="s">
        <v>469</v>
      </c>
      <c r="I629" s="10"/>
      <c r="J629" s="10"/>
      <c r="K629" s="10"/>
      <c r="L629" s="56">
        <v>2286</v>
      </c>
      <c r="M629" s="56">
        <v>2286</v>
      </c>
      <c r="N629" s="539">
        <f>'PR-10'!N103</f>
        <v>2290</v>
      </c>
      <c r="O629" s="110">
        <f t="shared" si="34"/>
        <v>2335.8</v>
      </c>
      <c r="P629" s="18">
        <f t="shared" si="35"/>
        <v>2381.6</v>
      </c>
    </row>
    <row r="630" spans="1:16" ht="15">
      <c r="A630" s="132"/>
      <c r="B630" s="7"/>
      <c r="C630" s="55"/>
      <c r="D630" s="55"/>
      <c r="E630" s="55"/>
      <c r="F630" s="8"/>
      <c r="G630" s="9"/>
      <c r="H630" s="196" t="s">
        <v>424</v>
      </c>
      <c r="I630" s="481" t="s">
        <v>431</v>
      </c>
      <c r="J630" s="481"/>
      <c r="K630" s="481"/>
      <c r="L630" s="482">
        <f>SUM(L623:L629)</f>
        <v>312564.14999999997</v>
      </c>
      <c r="M630" s="482">
        <f>SUM(M623:M629)</f>
        <v>312564.14999999997</v>
      </c>
      <c r="N630" s="697">
        <f>SUM(N623:N629)</f>
        <v>322590</v>
      </c>
      <c r="O630" s="360">
        <f t="shared" si="34"/>
        <v>329041.8</v>
      </c>
      <c r="P630" s="131">
        <f t="shared" si="35"/>
        <v>335493.6</v>
      </c>
    </row>
    <row r="631" spans="1:16" ht="15">
      <c r="A631" s="132"/>
      <c r="B631" s="7"/>
      <c r="C631" s="55"/>
      <c r="D631" s="55"/>
      <c r="E631" s="55"/>
      <c r="F631" s="8"/>
      <c r="G631" s="9"/>
      <c r="H631" s="5" t="s">
        <v>347</v>
      </c>
      <c r="I631" s="5"/>
      <c r="J631" s="5"/>
      <c r="K631" s="5"/>
      <c r="L631" s="73">
        <v>176170</v>
      </c>
      <c r="M631" s="73">
        <v>201676</v>
      </c>
      <c r="N631" s="520">
        <v>210000</v>
      </c>
      <c r="O631" s="11">
        <f t="shared" si="34"/>
        <v>214200</v>
      </c>
      <c r="P631" s="18">
        <f t="shared" si="35"/>
        <v>218400</v>
      </c>
    </row>
    <row r="632" spans="1:16" ht="15">
      <c r="A632" s="132"/>
      <c r="B632" s="7"/>
      <c r="C632" s="55"/>
      <c r="D632" s="55"/>
      <c r="E632" s="55"/>
      <c r="F632" s="8"/>
      <c r="G632" s="9"/>
      <c r="H632" s="5" t="s">
        <v>607</v>
      </c>
      <c r="I632" s="5"/>
      <c r="J632" s="5"/>
      <c r="K632" s="5"/>
      <c r="L632" s="73">
        <v>0</v>
      </c>
      <c r="M632" s="73">
        <v>10672</v>
      </c>
      <c r="N632" s="520">
        <v>0</v>
      </c>
      <c r="O632" s="11">
        <f t="shared" si="34"/>
        <v>0</v>
      </c>
      <c r="P632" s="18">
        <f>N632+N632*$P$622</f>
        <v>0</v>
      </c>
    </row>
    <row r="633" spans="1:22" ht="15">
      <c r="A633" s="132"/>
      <c r="B633" s="7"/>
      <c r="C633" s="55"/>
      <c r="D633" s="55"/>
      <c r="E633" s="55"/>
      <c r="F633" s="8"/>
      <c r="G633" s="9"/>
      <c r="H633" s="5" t="s">
        <v>627</v>
      </c>
      <c r="I633" s="5"/>
      <c r="J633" s="5"/>
      <c r="K633" s="5"/>
      <c r="L633" s="73">
        <v>0</v>
      </c>
      <c r="M633" s="73">
        <v>0</v>
      </c>
      <c r="N633" s="520">
        <v>16000</v>
      </c>
      <c r="O633" s="11">
        <f t="shared" si="34"/>
        <v>16320</v>
      </c>
      <c r="P633" s="18">
        <f t="shared" si="35"/>
        <v>16640</v>
      </c>
      <c r="U633" s="1"/>
      <c r="V633" s="59"/>
    </row>
    <row r="634" spans="1:22" ht="15.75" thickBot="1">
      <c r="A634" s="340"/>
      <c r="B634" s="341"/>
      <c r="C634" s="342"/>
      <c r="D634" s="342"/>
      <c r="E634" s="342"/>
      <c r="F634" s="343"/>
      <c r="G634" s="344"/>
      <c r="H634" s="344" t="s">
        <v>368</v>
      </c>
      <c r="I634" s="344"/>
      <c r="J634" s="344"/>
      <c r="K634" s="344"/>
      <c r="L634" s="451">
        <f>SUM(L630:L633)</f>
        <v>488734.14999999997</v>
      </c>
      <c r="M634" s="451">
        <f>SUM(M630:M633)</f>
        <v>524912.1499999999</v>
      </c>
      <c r="N634" s="698">
        <f>N630+N631+N633</f>
        <v>548590</v>
      </c>
      <c r="O634" s="345">
        <f>O630+O631+O633</f>
        <v>559561.8</v>
      </c>
      <c r="P634" s="346">
        <f>P630+P631+P633</f>
        <v>570533.6</v>
      </c>
      <c r="U634" s="1"/>
      <c r="V634" s="59"/>
    </row>
    <row r="635" spans="1:6" ht="15">
      <c r="A635" s="1"/>
      <c r="B635" s="1"/>
      <c r="C635" s="1"/>
      <c r="D635" s="1"/>
      <c r="E635" s="1"/>
      <c r="F635" s="1"/>
    </row>
    <row r="636" spans="1:22" ht="15">
      <c r="A636" s="24" t="s">
        <v>624</v>
      </c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U636" s="1"/>
      <c r="V636" s="59"/>
    </row>
    <row r="637" spans="1:22" ht="15">
      <c r="A637" s="24" t="s">
        <v>480</v>
      </c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U637" s="1"/>
      <c r="V637" s="59"/>
    </row>
    <row r="638" spans="1:21" ht="15">
      <c r="A638" s="518" t="s">
        <v>682</v>
      </c>
      <c r="B638" s="518"/>
      <c r="C638" s="518"/>
      <c r="D638" s="518"/>
      <c r="E638" s="518"/>
      <c r="F638" s="24"/>
      <c r="G638" s="24"/>
      <c r="H638" s="24"/>
      <c r="I638" s="24"/>
      <c r="N638" s="24"/>
      <c r="O638" s="1"/>
      <c r="P638" s="1"/>
      <c r="U638" s="1"/>
    </row>
    <row r="639" spans="1:6" s="24" customFormat="1" ht="15">
      <c r="A639" s="652" t="s">
        <v>671</v>
      </c>
      <c r="B639" s="652"/>
      <c r="C639" s="652"/>
      <c r="D639" s="652"/>
      <c r="E639" s="652"/>
      <c r="F639" s="653"/>
    </row>
    <row r="640" spans="1:6" s="24" customFormat="1" ht="15">
      <c r="A640" s="652" t="s">
        <v>397</v>
      </c>
      <c r="B640" s="652"/>
      <c r="C640" s="652"/>
      <c r="D640" s="652"/>
      <c r="E640" s="652"/>
      <c r="F640" s="653"/>
    </row>
    <row r="641" spans="1:6" s="24" customFormat="1" ht="15">
      <c r="A641" s="652" t="s">
        <v>441</v>
      </c>
      <c r="B641" s="654"/>
      <c r="C641" s="652"/>
      <c r="D641" s="745">
        <v>41352</v>
      </c>
      <c r="E641" s="745"/>
      <c r="F641" s="745"/>
    </row>
    <row r="642" spans="1:6" s="24" customFormat="1" ht="15">
      <c r="A642" s="652" t="s">
        <v>673</v>
      </c>
      <c r="B642" s="655"/>
      <c r="C642" s="652"/>
      <c r="D642" s="652"/>
      <c r="E642" s="652"/>
      <c r="F642" s="653"/>
    </row>
    <row r="643" spans="1:16" ht="15">
      <c r="A643" s="546"/>
      <c r="B643" s="548"/>
      <c r="C643" s="546"/>
      <c r="D643" s="546"/>
      <c r="E643" s="546"/>
      <c r="F643" s="547"/>
      <c r="G643" s="547"/>
      <c r="H643" s="547"/>
      <c r="I643" s="547"/>
      <c r="J643" s="547"/>
      <c r="K643" s="547"/>
      <c r="L643" s="397"/>
      <c r="M643" s="397"/>
      <c r="N643" s="699"/>
      <c r="O643" s="399"/>
      <c r="P643" s="399"/>
    </row>
    <row r="644" spans="1:14" ht="15">
      <c r="A644" s="393"/>
      <c r="B644" s="394"/>
      <c r="C644" s="393"/>
      <c r="D644" s="393"/>
      <c r="E644" s="393"/>
      <c r="F644" s="395"/>
      <c r="G644" s="391"/>
      <c r="H644" s="391"/>
      <c r="I644" s="391"/>
      <c r="J644" s="391"/>
      <c r="K644" s="391"/>
      <c r="L644" s="391"/>
      <c r="M644" s="391"/>
      <c r="N644" s="700"/>
    </row>
  </sheetData>
  <sheetProtection/>
  <mergeCells count="21">
    <mergeCell ref="B106:E106"/>
    <mergeCell ref="B161:E161"/>
    <mergeCell ref="B192:E192"/>
    <mergeCell ref="B228:E228"/>
    <mergeCell ref="N7:P7"/>
    <mergeCell ref="B265:E265"/>
    <mergeCell ref="B285:E285"/>
    <mergeCell ref="B463:E463"/>
    <mergeCell ref="A1:P1"/>
    <mergeCell ref="B235:E235"/>
    <mergeCell ref="B9:E9"/>
    <mergeCell ref="B62:E62"/>
    <mergeCell ref="B80:E80"/>
    <mergeCell ref="B87:E87"/>
    <mergeCell ref="B93:E93"/>
    <mergeCell ref="B542:E542"/>
    <mergeCell ref="B599:E599"/>
    <mergeCell ref="B334:E334"/>
    <mergeCell ref="B351:E351"/>
    <mergeCell ref="B426:E426"/>
    <mergeCell ref="D641:F64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5.8515625" style="24" customWidth="1"/>
    <col min="2" max="4" width="9.140625" style="24" customWidth="1"/>
    <col min="5" max="5" width="43.57421875" style="24" customWidth="1"/>
    <col min="6" max="6" width="11.140625" style="549" customWidth="1"/>
    <col min="7" max="7" width="12.28125" style="549" customWidth="1"/>
    <col min="8" max="8" width="11.57421875" style="570" customWidth="1"/>
    <col min="9" max="9" width="9.7109375" style="561" customWidth="1"/>
    <col min="10" max="10" width="9.57421875" style="561" bestFit="1" customWidth="1"/>
    <col min="11" max="16384" width="9.140625" style="24" customWidth="1"/>
  </cols>
  <sheetData>
    <row r="1" spans="1:10" ht="15">
      <c r="A1" s="761" t="s">
        <v>551</v>
      </c>
      <c r="B1" s="761"/>
      <c r="C1" s="761"/>
      <c r="D1" s="761"/>
      <c r="E1" s="761"/>
      <c r="F1" s="761"/>
      <c r="G1" s="761"/>
      <c r="H1" s="761"/>
      <c r="I1" s="761"/>
      <c r="J1" s="761"/>
    </row>
    <row r="3" spans="1:10" ht="15">
      <c r="A3" s="761" t="s">
        <v>350</v>
      </c>
      <c r="B3" s="761"/>
      <c r="C3" s="761"/>
      <c r="D3" s="761"/>
      <c r="E3" s="761"/>
      <c r="F3" s="761"/>
      <c r="G3" s="761"/>
      <c r="H3" s="761"/>
      <c r="I3" s="761"/>
      <c r="J3" s="761"/>
    </row>
    <row r="5" spans="1:10" ht="15">
      <c r="A5" s="762" t="s">
        <v>549</v>
      </c>
      <c r="B5" s="762"/>
      <c r="C5" s="762"/>
      <c r="D5" s="762"/>
      <c r="E5" s="762"/>
      <c r="F5" s="762"/>
      <c r="G5" s="762"/>
      <c r="H5" s="659">
        <v>2013</v>
      </c>
      <c r="I5" s="545">
        <f>H5+1</f>
        <v>2014</v>
      </c>
      <c r="J5" s="545">
        <f>I5+1</f>
        <v>2015</v>
      </c>
    </row>
    <row r="6" spans="18:26" ht="15">
      <c r="R6" s="761"/>
      <c r="S6" s="761"/>
      <c r="T6" s="761"/>
      <c r="U6" s="761"/>
      <c r="V6" s="761"/>
      <c r="W6" s="761"/>
      <c r="X6" s="761"/>
      <c r="Y6" s="761"/>
      <c r="Z6" s="761"/>
    </row>
    <row r="7" spans="9:11" ht="15.75" thickBot="1">
      <c r="I7" s="560">
        <v>0.02</v>
      </c>
      <c r="J7" s="560">
        <v>0.04</v>
      </c>
      <c r="K7" s="178"/>
    </row>
    <row r="8" spans="1:10" ht="15">
      <c r="A8" s="99" t="s">
        <v>662</v>
      </c>
      <c r="B8" s="100"/>
      <c r="C8" s="100"/>
      <c r="D8" s="100"/>
      <c r="E8" s="103"/>
      <c r="F8" s="550" t="s">
        <v>500</v>
      </c>
      <c r="G8" s="550" t="s">
        <v>501</v>
      </c>
      <c r="H8" s="706" t="s">
        <v>548</v>
      </c>
      <c r="I8" s="562" t="s">
        <v>548</v>
      </c>
      <c r="J8" s="572" t="s">
        <v>548</v>
      </c>
    </row>
    <row r="9" spans="1:10" ht="15.75" thickBot="1">
      <c r="A9" s="590" t="s">
        <v>351</v>
      </c>
      <c r="B9" s="316" t="s">
        <v>7</v>
      </c>
      <c r="C9" s="316"/>
      <c r="D9" s="316"/>
      <c r="E9" s="316"/>
      <c r="F9" s="551">
        <v>2012</v>
      </c>
      <c r="G9" s="551" t="s">
        <v>550</v>
      </c>
      <c r="H9" s="707">
        <v>2013</v>
      </c>
      <c r="I9" s="563">
        <f>H9+1</f>
        <v>2014</v>
      </c>
      <c r="J9" s="573">
        <f>I9+1</f>
        <v>2015</v>
      </c>
    </row>
    <row r="10" spans="1:10" ht="15">
      <c r="A10" s="579">
        <v>1</v>
      </c>
      <c r="B10" s="580" t="s">
        <v>352</v>
      </c>
      <c r="C10" s="580"/>
      <c r="D10" s="580"/>
      <c r="E10" s="580"/>
      <c r="F10" s="581">
        <f>'VÝD-10'!L28+'VÝD-10'!L43+'VÝD-10'!L46+'VÝD-10'!L52+'VÝD-10'!L57</f>
        <v>78278</v>
      </c>
      <c r="G10" s="581">
        <f>'VÝD-10'!M28+'VÝD-10'!M43+'VÝD-10'!M46+'VÝD-10'!M52+'VÝD-10'!M57</f>
        <v>68349.24</v>
      </c>
      <c r="H10" s="708">
        <f>'VÝD-10'!N28+'VÝD-10'!N43+'VÝD-10'!N45+'VÝD-10'!N52+'VÝD-10'!N57</f>
        <v>77026</v>
      </c>
      <c r="I10" s="582">
        <f>'VÝD-10'!O28+'VÝD-10'!O43+'VÝD-10'!O46+'VÝD-10'!O52+'VÝD-10'!O57</f>
        <v>78205.64</v>
      </c>
      <c r="J10" s="583">
        <f>'VÝD-10'!P28+'VÝD-10'!P43+'VÝD-10'!P46+'VÝD-10'!P52+'VÝD-10'!P57</f>
        <v>79779.28</v>
      </c>
    </row>
    <row r="11" spans="1:10" ht="15">
      <c r="A11" s="584">
        <v>2</v>
      </c>
      <c r="B11" s="585" t="s">
        <v>638</v>
      </c>
      <c r="C11" s="585"/>
      <c r="D11" s="585"/>
      <c r="E11" s="585"/>
      <c r="F11" s="586">
        <f>'VÝD-10'!L70+'VÝD-10'!L79+'VÝD-10'!L85</f>
        <v>16034</v>
      </c>
      <c r="G11" s="586">
        <f>'VÝD-10'!M70+'VÝD-10'!M79+'VÝD-10'!M85</f>
        <v>15240.439999999999</v>
      </c>
      <c r="H11" s="709">
        <f>'VÝD-10'!N70+'VÝD-10'!N79+'VÝD-10'!N85</f>
        <v>19603</v>
      </c>
      <c r="I11" s="587">
        <f>'VÝD-10'!O70+'VÝD-10'!O79+'VÝD-10'!O85</f>
        <v>19935.06</v>
      </c>
      <c r="J11" s="588">
        <f>'VÝD-10'!P70+'VÝD-10'!P79+'VÝD-10'!P85</f>
        <v>20267.12</v>
      </c>
    </row>
    <row r="12" spans="1:10" ht="15">
      <c r="A12" s="584">
        <v>3</v>
      </c>
      <c r="B12" s="585" t="s">
        <v>639</v>
      </c>
      <c r="C12" s="585"/>
      <c r="D12" s="585"/>
      <c r="E12" s="585"/>
      <c r="F12" s="586">
        <f>'VÝD-10'!L92+'VÝD-10'!L103+'VÝD-10'!L104</f>
        <v>7951.66</v>
      </c>
      <c r="G12" s="586">
        <f>'VÝD-10'!M92+'VÝD-10'!M103+'VÝD-10'!M104</f>
        <v>5948.95</v>
      </c>
      <c r="H12" s="709">
        <f>'VÝD-10'!N92+'VÝD-10'!N103+'VÝD-10'!N104</f>
        <v>10929</v>
      </c>
      <c r="I12" s="587">
        <f>'VÝD-10'!O92+'VÝD-10'!O103+'VÝD-10'!O104</f>
        <v>11127.58</v>
      </c>
      <c r="J12" s="588">
        <f>'VÝD-10'!P92+'VÝD-10'!P103+'VÝD-10'!P104</f>
        <v>11326.16</v>
      </c>
    </row>
    <row r="13" spans="1:10" ht="15">
      <c r="A13" s="584">
        <v>4</v>
      </c>
      <c r="B13" s="585" t="s">
        <v>643</v>
      </c>
      <c r="C13" s="585"/>
      <c r="D13" s="585"/>
      <c r="E13" s="585"/>
      <c r="F13" s="586">
        <f>'VÝD-10'!L119+'VÝD-10'!L134+'VÝD-10'!L146+'VÝD-10'!L155+'VÝD-10'!L159</f>
        <v>30083.62</v>
      </c>
      <c r="G13" s="586">
        <f>'VÝD-10'!M119+'VÝD-10'!M134+'VÝD-10'!M146+'VÝD-10'!M155+'VÝD-10'!M159</f>
        <v>22095.190000000002</v>
      </c>
      <c r="H13" s="709">
        <f>'VÝD-10'!N119+'VÝD-10'!N134+'VÝD-10'!N146+'VÝD-10'!N155+'VÝD-10'!N159</f>
        <v>28505</v>
      </c>
      <c r="I13" s="587">
        <f>'VÝD-10'!O119+'VÝD-10'!O134+'VÝD-10'!O146+'VÝD-10'!O155+'VÝD-10'!O159</f>
        <v>29075.100000000002</v>
      </c>
      <c r="J13" s="588">
        <f>'VÝD-10'!P119+'VÝD-10'!P134+'VÝD-10'!P146+'VÝD-10'!P155+'VÝD-10'!P159</f>
        <v>29645.199999999997</v>
      </c>
    </row>
    <row r="14" spans="1:10" ht="15">
      <c r="A14" s="317">
        <v>5</v>
      </c>
      <c r="B14" s="578" t="s">
        <v>642</v>
      </c>
      <c r="C14" s="578"/>
      <c r="D14" s="578"/>
      <c r="E14" s="578"/>
      <c r="F14" s="552">
        <f>'VÝD-10'!L165+'VÝD-10'!L180+'VÝD-10'!L184+'VÝD-10'!L190</f>
        <v>136089.09</v>
      </c>
      <c r="G14" s="552">
        <f>'VÝD-10'!M165+'VÝD-10'!M180+'VÝD-10'!M184+'VÝD-10'!M190</f>
        <v>132920.46</v>
      </c>
      <c r="H14" s="710">
        <f>'VÝD-10'!N165+'VÝD-10'!N180+'VÝD-10'!N184</f>
        <v>43465</v>
      </c>
      <c r="I14" s="564">
        <f>'VÝD-10'!O165+'VÝD-10'!O180+'VÝD-10'!O184+'VÝD-10'!O190</f>
        <v>44334.3</v>
      </c>
      <c r="J14" s="574">
        <f>'VÝD-10'!P165+'VÝD-10'!P180+'VÝD-10'!P184+'VÝD-10'!P190</f>
        <v>45203.6</v>
      </c>
    </row>
    <row r="15" spans="1:10" ht="15">
      <c r="A15" s="584">
        <v>6</v>
      </c>
      <c r="B15" s="585" t="s">
        <v>640</v>
      </c>
      <c r="C15" s="585"/>
      <c r="D15" s="585"/>
      <c r="E15" s="585"/>
      <c r="F15" s="586">
        <f>'VÝD-10'!L200+'VÝD-10'!L223</f>
        <v>135374</v>
      </c>
      <c r="G15" s="586">
        <f>'VÝD-10'!M200+'VÝD-10'!M223</f>
        <v>134087.84999999998</v>
      </c>
      <c r="H15" s="709">
        <f>'VÝD-10'!N200+'VÝD-10'!N223</f>
        <v>136863</v>
      </c>
      <c r="I15" s="587">
        <f>'VÝD-10'!O200+'VÝD-10'!O223</f>
        <v>139600.26</v>
      </c>
      <c r="J15" s="588">
        <f>'VÝD-10'!P200+'VÝD-10'!P223</f>
        <v>142337.52</v>
      </c>
    </row>
    <row r="16" spans="1:10" ht="15">
      <c r="A16" s="317">
        <v>7</v>
      </c>
      <c r="B16" s="578" t="s">
        <v>641</v>
      </c>
      <c r="C16" s="578"/>
      <c r="D16" s="578"/>
      <c r="E16" s="578"/>
      <c r="F16" s="552">
        <f>'VÝD-10'!L233</f>
        <v>2400</v>
      </c>
      <c r="G16" s="552">
        <f>'VÝD-10'!M233</f>
        <v>1870.27</v>
      </c>
      <c r="H16" s="710">
        <f>'VÝD-10'!N233</f>
        <v>2200</v>
      </c>
      <c r="I16" s="564">
        <f>'VÝD-10'!O233</f>
        <v>2244</v>
      </c>
      <c r="J16" s="574">
        <f>'VÝD-10'!P233</f>
        <v>2288</v>
      </c>
    </row>
    <row r="17" spans="1:10" ht="15">
      <c r="A17" s="584">
        <v>8</v>
      </c>
      <c r="B17" s="585" t="s">
        <v>644</v>
      </c>
      <c r="C17" s="585"/>
      <c r="D17" s="585"/>
      <c r="E17" s="585"/>
      <c r="F17" s="586">
        <f>'VÝD-10'!L245+'VÝD-10'!L255</f>
        <v>20508.15</v>
      </c>
      <c r="G17" s="586">
        <f>'VÝD-10'!M245+'VÝD-10'!M255</f>
        <v>23105.760000000002</v>
      </c>
      <c r="H17" s="709">
        <f>'VÝD-10'!N245+'VÝD-10'!N255</f>
        <v>20106</v>
      </c>
      <c r="I17" s="587">
        <f>'VÝD-10'!O245+'VÝD-10'!O255</f>
        <v>20508.12</v>
      </c>
      <c r="J17" s="588">
        <f>'VÝD-10'!P245+'VÝD-10'!P255</f>
        <v>20910.24</v>
      </c>
    </row>
    <row r="18" spans="1:10" ht="15">
      <c r="A18" s="317">
        <v>9</v>
      </c>
      <c r="B18" s="578" t="s">
        <v>645</v>
      </c>
      <c r="C18" s="578"/>
      <c r="D18" s="578"/>
      <c r="E18" s="578"/>
      <c r="F18" s="552">
        <f>'VÝD-10'!L278</f>
        <v>42841.19</v>
      </c>
      <c r="G18" s="552">
        <f>'VÝD-10'!M278</f>
        <v>59465.41</v>
      </c>
      <c r="H18" s="710">
        <f>'VÝD-10'!N278</f>
        <v>1552</v>
      </c>
      <c r="I18" s="564">
        <f>'VÝD-10'!O278</f>
        <v>1584</v>
      </c>
      <c r="J18" s="574">
        <f>'VÝD-10'!P278</f>
        <v>1614.08</v>
      </c>
    </row>
    <row r="19" spans="1:10" ht="15">
      <c r="A19" s="584">
        <v>10</v>
      </c>
      <c r="B19" s="585" t="s">
        <v>646</v>
      </c>
      <c r="C19" s="585"/>
      <c r="D19" s="585"/>
      <c r="E19" s="585"/>
      <c r="F19" s="586">
        <f>'VÝD-10'!L299+'VÝD-10'!L322+'VÝD-10'!L328+'VÝD-10'!L331</f>
        <v>58491</v>
      </c>
      <c r="G19" s="589">
        <f>'VÝD-10'!M299+'VÝD-10'!M322+'VÝD-10'!M328+'VÝD-10'!M331</f>
        <v>48273.46</v>
      </c>
      <c r="H19" s="709">
        <f>'VÝD-10'!N302+'VÝD-10'!N322+'VÝD-10'!N328+'VÝD-10'!N331</f>
        <v>54064</v>
      </c>
      <c r="I19" s="587">
        <f>'VÝD-10'!O302+'VÝD-10'!O322+'VÝD-10'!O328+'VÝD-10'!O331</f>
        <v>55145.28</v>
      </c>
      <c r="J19" s="588">
        <f>'VÝD-10'!P302+'VÝD-10'!P322+'VÝD-10'!P328+'VÝD-10'!P331</f>
        <v>56226.56</v>
      </c>
    </row>
    <row r="20" spans="1:10" ht="15">
      <c r="A20" s="317">
        <v>11</v>
      </c>
      <c r="B20" s="578" t="s">
        <v>647</v>
      </c>
      <c r="C20" s="578"/>
      <c r="D20" s="578"/>
      <c r="E20" s="578"/>
      <c r="F20" s="552">
        <f>'VÝD-10'!L345</f>
        <v>6314</v>
      </c>
      <c r="G20" s="552">
        <f>'VÝD-10'!M345</f>
        <v>4592.290000000001</v>
      </c>
      <c r="H20" s="710">
        <f>'VÝD-10'!N345</f>
        <v>5810</v>
      </c>
      <c r="I20" s="564">
        <f>'VÝD-10'!O345</f>
        <v>5926.2</v>
      </c>
      <c r="J20" s="574">
        <f>'VÝD-10'!P345</f>
        <v>6042.4</v>
      </c>
    </row>
    <row r="21" spans="1:10" ht="15">
      <c r="A21" s="584">
        <v>12</v>
      </c>
      <c r="B21" s="585" t="s">
        <v>648</v>
      </c>
      <c r="C21" s="585"/>
      <c r="D21" s="585"/>
      <c r="E21" s="585"/>
      <c r="F21" s="586">
        <f>'VÝD-10'!L358+'VÝD-10'!L368+'VÝD-10'!L389+'VÝD-10'!L399+'VÝD-10'!L405+'VÝD-10'!L419+'VÝD-10'!L423</f>
        <v>70827.87999999999</v>
      </c>
      <c r="G21" s="586">
        <f>'VÝD-10'!M358+'VÝD-10'!M368+'VÝD-10'!M389+'VÝD-10'!M399+'VÝD-10'!M405+'VÝD-10'!M419+'VÝD-10'!M423</f>
        <v>58885.42</v>
      </c>
      <c r="H21" s="709">
        <f>'VÝD-10'!N358+'VÝD-10'!N368+'VÝD-10'!N389+'VÝD-10'!N399+'VÝD-10'!N405+'VÝD-10'!N419</f>
        <v>56296</v>
      </c>
      <c r="I21" s="587">
        <f>'VÝD-10'!O358+'VÝD-10'!O368+'VÝD-10'!O389+'VÝD-10'!O399+'VÝD-10'!O405+'VÝD-10'!O419</f>
        <v>57421.92</v>
      </c>
      <c r="J21" s="588">
        <f>'VÝD-10'!P358+'VÝD-10'!P368+'VÝD-10'!P389+'VÝD-10'!P399+'VÝD-10'!P405+'VÝD-10'!P419</f>
        <v>58547.840000000004</v>
      </c>
    </row>
    <row r="22" spans="1:10" ht="15">
      <c r="A22" s="317">
        <v>13</v>
      </c>
      <c r="B22" s="578" t="s">
        <v>649</v>
      </c>
      <c r="C22" s="578"/>
      <c r="D22" s="578"/>
      <c r="E22" s="578"/>
      <c r="F22" s="552">
        <f>'VÝD-10'!L434+'VÝD-10'!L441+'VÝD-10'!L448+'VÝD-10'!L457</f>
        <v>24264</v>
      </c>
      <c r="G22" s="552">
        <f>'VÝD-10'!M434+'VÝD-10'!M441+'VÝD-10'!M448+'VÝD-10'!M457</f>
        <v>19468.5</v>
      </c>
      <c r="H22" s="710">
        <f>'VÝD-10'!N434+'VÝD-10'!N441+'VÝD-10'!N448+'VÝD-10'!N457</f>
        <v>21201</v>
      </c>
      <c r="I22" s="564">
        <f>'VÝD-10'!O434+'VÝD-10'!O441+'VÝD-10'!O448+'VÝD-10'!O457</f>
        <v>21625.02</v>
      </c>
      <c r="J22" s="574">
        <f>'VÝD-10'!P434+'VÝD-10'!P441+'VÝD-10'!P448+'VÝD-10'!P457</f>
        <v>22049.04</v>
      </c>
    </row>
    <row r="23" spans="1:10" ht="15">
      <c r="A23" s="584">
        <v>14</v>
      </c>
      <c r="B23" s="585" t="s">
        <v>650</v>
      </c>
      <c r="C23" s="585"/>
      <c r="D23" s="585"/>
      <c r="E23" s="585"/>
      <c r="F23" s="586">
        <f>'VÝD-10'!L472+'VÝD-10'!L489+'VÝD-10'!L519+'VÝD-10'!L536+'VÝD-10'!L539</f>
        <v>186920.38</v>
      </c>
      <c r="G23" s="586">
        <f>'VÝD-10'!M472+'VÝD-10'!M489+'VÝD-10'!M519+'VÝD-10'!M536+'VÝD-10'!M539</f>
        <v>175876.61</v>
      </c>
      <c r="H23" s="709">
        <f>'VÝD-10'!N472+'VÝD-10'!N489+'VÝD-10'!N519+'VÝD-10'!N536</f>
        <v>244681</v>
      </c>
      <c r="I23" s="587">
        <f>'VÝD-10'!O472+'VÝD-10'!O489+'VÝD-10'!O519+'VÝD-10'!O536</f>
        <v>249574.62</v>
      </c>
      <c r="J23" s="588">
        <f>'VÝD-10'!P472+'VÝD-10'!P489+'VÝD-10'!P519+'VÝD-10'!P536</f>
        <v>254468.24</v>
      </c>
    </row>
    <row r="24" spans="1:10" ht="15">
      <c r="A24" s="584">
        <v>15</v>
      </c>
      <c r="B24" s="585" t="s">
        <v>651</v>
      </c>
      <c r="C24" s="585"/>
      <c r="D24" s="585"/>
      <c r="E24" s="585"/>
      <c r="F24" s="586">
        <f>'VÝD-10'!L588+'VÝD-10'!L596</f>
        <v>163449</v>
      </c>
      <c r="G24" s="586">
        <f>'VÝD-10'!M588+'VÝD-10'!M596</f>
        <v>155850.13000000003</v>
      </c>
      <c r="H24" s="709">
        <f>'VÝD-10'!N588+'VÝD-10'!N596</f>
        <v>154661</v>
      </c>
      <c r="I24" s="587">
        <f>'VÝD-10'!O588+'VÝD-10'!O596</f>
        <v>157754.22</v>
      </c>
      <c r="J24" s="588">
        <f>'VÝD-10'!P588+'VÝD-10'!P596</f>
        <v>160847.44</v>
      </c>
    </row>
    <row r="25" spans="1:10" ht="15">
      <c r="A25" s="317">
        <v>16</v>
      </c>
      <c r="B25" s="578" t="s">
        <v>353</v>
      </c>
      <c r="C25" s="578"/>
      <c r="D25" s="578"/>
      <c r="E25" s="578"/>
      <c r="F25" s="552">
        <f>'VÝD-10'!L608</f>
        <v>39220</v>
      </c>
      <c r="G25" s="552">
        <f>'VÝD-10'!M608</f>
        <v>35224.07</v>
      </c>
      <c r="H25" s="710">
        <f>'VÝD-10'!N608</f>
        <v>39220</v>
      </c>
      <c r="I25" s="564">
        <f>'VÝD-10'!O608</f>
        <v>39220</v>
      </c>
      <c r="J25" s="574">
        <f>'VÝD-10'!P608</f>
        <v>39220</v>
      </c>
    </row>
    <row r="26" spans="1:13" ht="15.75" thickBot="1">
      <c r="A26" s="318"/>
      <c r="B26" s="319" t="s">
        <v>354</v>
      </c>
      <c r="C26" s="319"/>
      <c r="D26" s="319"/>
      <c r="E26" s="319"/>
      <c r="F26" s="553">
        <f>SUM(F10:F25)</f>
        <v>1019045.97</v>
      </c>
      <c r="G26" s="553">
        <f>SUM(G10:G25)</f>
        <v>961254.05</v>
      </c>
      <c r="H26" s="565">
        <f>SUM(H10:H25)</f>
        <v>916182</v>
      </c>
      <c r="I26" s="565">
        <f>SUM(I10:I25)</f>
        <v>933281.32</v>
      </c>
      <c r="J26" s="575">
        <f>SUM(J10:J25)</f>
        <v>950772.72</v>
      </c>
      <c r="L26" s="178">
        <v>30.126</v>
      </c>
      <c r="M26" s="178">
        <f>H26*L26</f>
        <v>27600898.932</v>
      </c>
    </row>
    <row r="28" ht="15.75" thickBot="1"/>
    <row r="29" spans="1:10" ht="15">
      <c r="A29" s="595" t="s">
        <v>663</v>
      </c>
      <c r="B29" s="596"/>
      <c r="C29" s="596"/>
      <c r="D29" s="596"/>
      <c r="E29" s="336"/>
      <c r="F29" s="597" t="s">
        <v>500</v>
      </c>
      <c r="G29" s="597" t="s">
        <v>501</v>
      </c>
      <c r="H29" s="711" t="s">
        <v>548</v>
      </c>
      <c r="I29" s="598" t="s">
        <v>548</v>
      </c>
      <c r="J29" s="599" t="s">
        <v>548</v>
      </c>
    </row>
    <row r="30" spans="1:10" ht="15.75" thickBot="1">
      <c r="A30" s="591" t="s">
        <v>351</v>
      </c>
      <c r="B30" s="320" t="s">
        <v>7</v>
      </c>
      <c r="C30" s="320"/>
      <c r="D30" s="320"/>
      <c r="E30" s="320"/>
      <c r="F30" s="594">
        <v>2012</v>
      </c>
      <c r="G30" s="594" t="s">
        <v>550</v>
      </c>
      <c r="H30" s="712">
        <f>H9</f>
        <v>2013</v>
      </c>
      <c r="I30" s="321">
        <f>I9</f>
        <v>2014</v>
      </c>
      <c r="J30" s="322">
        <f>J9</f>
        <v>2015</v>
      </c>
    </row>
    <row r="31" spans="1:10" ht="15">
      <c r="A31" s="579">
        <v>1</v>
      </c>
      <c r="B31" s="580" t="s">
        <v>352</v>
      </c>
      <c r="C31" s="580"/>
      <c r="D31" s="580"/>
      <c r="E31" s="580"/>
      <c r="F31" s="581">
        <f>'VÝD-10'!L58</f>
        <v>9000</v>
      </c>
      <c r="G31" s="581">
        <f>'VÝD-10'!M58</f>
        <v>240</v>
      </c>
      <c r="H31" s="708">
        <f>'VÝD-10'!N58</f>
        <v>9000</v>
      </c>
      <c r="I31" s="582">
        <f>'VÝD-10'!O58</f>
        <v>0</v>
      </c>
      <c r="J31" s="583">
        <f>'VÝD-10'!P58</f>
        <v>0</v>
      </c>
    </row>
    <row r="32" spans="1:10" ht="15">
      <c r="A32" s="317">
        <v>2</v>
      </c>
      <c r="B32" s="578" t="s">
        <v>638</v>
      </c>
      <c r="C32" s="578"/>
      <c r="D32" s="578"/>
      <c r="E32" s="578"/>
      <c r="F32" s="552"/>
      <c r="G32" s="552"/>
      <c r="H32" s="710"/>
      <c r="I32" s="564"/>
      <c r="J32" s="574"/>
    </row>
    <row r="33" spans="1:10" ht="15">
      <c r="A33" s="584">
        <v>3</v>
      </c>
      <c r="B33" s="585" t="s">
        <v>639</v>
      </c>
      <c r="C33" s="585"/>
      <c r="D33" s="585"/>
      <c r="E33" s="585"/>
      <c r="F33" s="586"/>
      <c r="G33" s="586"/>
      <c r="H33" s="709"/>
      <c r="I33" s="587"/>
      <c r="J33" s="588"/>
    </row>
    <row r="34" spans="1:10" ht="15">
      <c r="A34" s="317">
        <v>4</v>
      </c>
      <c r="B34" s="578" t="s">
        <v>643</v>
      </c>
      <c r="C34" s="578"/>
      <c r="D34" s="578"/>
      <c r="E34" s="578"/>
      <c r="F34" s="552"/>
      <c r="G34" s="552"/>
      <c r="H34" s="710"/>
      <c r="I34" s="564"/>
      <c r="J34" s="574"/>
    </row>
    <row r="35" spans="1:10" ht="15">
      <c r="A35" s="584">
        <v>5</v>
      </c>
      <c r="B35" s="585" t="s">
        <v>642</v>
      </c>
      <c r="C35" s="585"/>
      <c r="D35" s="585"/>
      <c r="E35" s="585"/>
      <c r="F35" s="586">
        <f>'VÝD-10'!L185</f>
        <v>0</v>
      </c>
      <c r="G35" s="586">
        <f>'VÝD-10'!M185</f>
        <v>411</v>
      </c>
      <c r="H35" s="709">
        <f>'VÝD-10'!N185</f>
        <v>0</v>
      </c>
      <c r="I35" s="587">
        <f>'VÝD-10'!O185</f>
        <v>0</v>
      </c>
      <c r="J35" s="588">
        <f>'VÝD-10'!P185</f>
        <v>0</v>
      </c>
    </row>
    <row r="36" spans="1:10" ht="15">
      <c r="A36" s="317">
        <v>6</v>
      </c>
      <c r="B36" s="578" t="s">
        <v>640</v>
      </c>
      <c r="C36" s="578"/>
      <c r="D36" s="578"/>
      <c r="E36" s="578"/>
      <c r="F36" s="552">
        <f>'VÝD-10'!L226</f>
        <v>25000</v>
      </c>
      <c r="G36" s="552">
        <f>'VÝD-10'!M226</f>
        <v>19353.12</v>
      </c>
      <c r="H36" s="710">
        <f>'VÝD-10'!N226</f>
        <v>9000</v>
      </c>
      <c r="I36" s="564"/>
      <c r="J36" s="574"/>
    </row>
    <row r="37" spans="1:10" ht="15">
      <c r="A37" s="584">
        <v>7</v>
      </c>
      <c r="B37" s="585" t="s">
        <v>641</v>
      </c>
      <c r="C37" s="585"/>
      <c r="D37" s="585"/>
      <c r="E37" s="585"/>
      <c r="F37" s="586"/>
      <c r="G37" s="586"/>
      <c r="H37" s="709"/>
      <c r="I37" s="587"/>
      <c r="J37" s="588"/>
    </row>
    <row r="38" spans="1:10" ht="15">
      <c r="A38" s="317">
        <v>8</v>
      </c>
      <c r="B38" s="578" t="s">
        <v>644</v>
      </c>
      <c r="C38" s="578"/>
      <c r="D38" s="578"/>
      <c r="E38" s="578"/>
      <c r="F38" s="552">
        <f>'VÝD-10'!L263</f>
        <v>117368</v>
      </c>
      <c r="G38" s="552">
        <f>'VÝD-10'!M263</f>
        <v>39748.23</v>
      </c>
      <c r="H38" s="710">
        <f>'VÝD-10'!N263</f>
        <v>50000</v>
      </c>
      <c r="I38" s="564">
        <f>'VÝD-10'!O263</f>
        <v>51000</v>
      </c>
      <c r="J38" s="574">
        <f>'VÝD-10'!P263</f>
        <v>52000</v>
      </c>
    </row>
    <row r="39" spans="1:10" ht="15">
      <c r="A39" s="584">
        <v>9</v>
      </c>
      <c r="B39" s="585" t="s">
        <v>645</v>
      </c>
      <c r="C39" s="585"/>
      <c r="D39" s="585"/>
      <c r="E39" s="585"/>
      <c r="F39" s="586">
        <f>'VÝD-10'!L282</f>
        <v>141800</v>
      </c>
      <c r="G39" s="586">
        <f>'VÝD-10'!M282</f>
        <v>139814.66</v>
      </c>
      <c r="H39" s="709">
        <f>'VÝD-10'!N279</f>
        <v>10000</v>
      </c>
      <c r="I39" s="587">
        <f>'VÝD-10'!O279</f>
        <v>10200</v>
      </c>
      <c r="J39" s="588">
        <f>'VÝD-10'!P279</f>
        <v>10400</v>
      </c>
    </row>
    <row r="40" spans="1:10" ht="15">
      <c r="A40" s="317">
        <v>10</v>
      </c>
      <c r="B40" s="578" t="s">
        <v>646</v>
      </c>
      <c r="C40" s="578"/>
      <c r="D40" s="578"/>
      <c r="E40" s="578"/>
      <c r="F40" s="552">
        <f>'VÝD-10'!L301</f>
        <v>10000</v>
      </c>
      <c r="G40" s="552">
        <f>'VÝD-10'!M301</f>
        <v>9976.23</v>
      </c>
      <c r="H40" s="710"/>
      <c r="I40" s="564"/>
      <c r="J40" s="574"/>
    </row>
    <row r="41" spans="1:10" ht="15">
      <c r="A41" s="584">
        <v>11</v>
      </c>
      <c r="B41" s="585" t="s">
        <v>647</v>
      </c>
      <c r="C41" s="585"/>
      <c r="D41" s="585"/>
      <c r="E41" s="585"/>
      <c r="F41" s="586">
        <f>'VÝD-10'!L348</f>
        <v>9366</v>
      </c>
      <c r="G41" s="586">
        <f>'VÝD-10'!M348</f>
        <v>0</v>
      </c>
      <c r="H41" s="709">
        <f>'VÝD-10'!N348</f>
        <v>11200</v>
      </c>
      <c r="I41" s="587">
        <f>'VÝD-10'!O348</f>
        <v>11424</v>
      </c>
      <c r="J41" s="588">
        <f>'VÝD-10'!P348</f>
        <v>11648</v>
      </c>
    </row>
    <row r="42" spans="1:10" ht="15">
      <c r="A42" s="317">
        <v>12</v>
      </c>
      <c r="B42" s="578" t="s">
        <v>648</v>
      </c>
      <c r="C42" s="578"/>
      <c r="D42" s="578"/>
      <c r="E42" s="578"/>
      <c r="F42" s="552"/>
      <c r="G42" s="552"/>
      <c r="H42" s="710"/>
      <c r="I42" s="564"/>
      <c r="J42" s="574"/>
    </row>
    <row r="43" spans="1:10" ht="15">
      <c r="A43" s="584">
        <v>13</v>
      </c>
      <c r="B43" s="585" t="s">
        <v>649</v>
      </c>
      <c r="C43" s="585"/>
      <c r="D43" s="585"/>
      <c r="E43" s="585"/>
      <c r="F43" s="586">
        <f>'VÝD-10'!L459</f>
        <v>4534</v>
      </c>
      <c r="G43" s="586">
        <f>'VÝD-10'!M459</f>
        <v>4533.29</v>
      </c>
      <c r="H43" s="709"/>
      <c r="I43" s="587"/>
      <c r="J43" s="588"/>
    </row>
    <row r="44" spans="1:10" ht="15">
      <c r="A44" s="317">
        <v>14</v>
      </c>
      <c r="B44" s="578" t="s">
        <v>650</v>
      </c>
      <c r="C44" s="578"/>
      <c r="D44" s="578"/>
      <c r="E44" s="578"/>
      <c r="F44" s="552">
        <f>'VÝD-10'!L520</f>
        <v>1500</v>
      </c>
      <c r="G44" s="552">
        <f>'VÝD-10'!M520</f>
        <v>1320.43</v>
      </c>
      <c r="H44" s="710">
        <f>'VÝD-10'!N490+'VÝD-10'!N520</f>
        <v>0</v>
      </c>
      <c r="I44" s="564">
        <f>'VÝD-10'!O520</f>
        <v>0</v>
      </c>
      <c r="J44" s="574">
        <f>'VÝD-10'!P520</f>
        <v>0</v>
      </c>
    </row>
    <row r="45" spans="1:10" ht="15">
      <c r="A45" s="584">
        <v>15</v>
      </c>
      <c r="B45" s="585" t="s">
        <v>651</v>
      </c>
      <c r="C45" s="585"/>
      <c r="D45" s="585"/>
      <c r="E45" s="585"/>
      <c r="F45" s="586">
        <f>'VÝD-10'!L591+'VÝD-10'!L592</f>
        <v>25000</v>
      </c>
      <c r="G45" s="586">
        <f>'VÝD-10'!M591+'VÝD-10'!M592</f>
        <v>62276.59</v>
      </c>
      <c r="H45" s="709">
        <f>'VÝD-10'!N591+'VÝD-10'!N592</f>
        <v>18500</v>
      </c>
      <c r="I45" s="587">
        <f>'VÝD-10'!O591+'VÝD-10'!O592</f>
        <v>18870</v>
      </c>
      <c r="J45" s="588">
        <f>'VÝD-10'!P591+'VÝD-10'!P592</f>
        <v>19240</v>
      </c>
    </row>
    <row r="46" spans="1:16" ht="15">
      <c r="A46" s="584">
        <v>16</v>
      </c>
      <c r="B46" s="585" t="s">
        <v>353</v>
      </c>
      <c r="C46" s="585"/>
      <c r="D46" s="585"/>
      <c r="E46" s="585"/>
      <c r="F46" s="586"/>
      <c r="G46" s="586"/>
      <c r="H46" s="709"/>
      <c r="I46" s="587"/>
      <c r="J46" s="588"/>
      <c r="L46" s="178"/>
      <c r="M46" s="178"/>
      <c r="N46" s="178"/>
      <c r="O46" s="178"/>
      <c r="P46" s="178"/>
    </row>
    <row r="47" spans="1:16" ht="15.75" thickBot="1">
      <c r="A47" s="318"/>
      <c r="B47" s="319" t="s">
        <v>355</v>
      </c>
      <c r="C47" s="319"/>
      <c r="D47" s="319"/>
      <c r="E47" s="319"/>
      <c r="F47" s="553">
        <f>SUM(F31:F46)</f>
        <v>343568</v>
      </c>
      <c r="G47" s="553">
        <f>SUM(G31:G46)</f>
        <v>277673.55000000005</v>
      </c>
      <c r="H47" s="565">
        <f>SUM(H31:H46)</f>
        <v>107700</v>
      </c>
      <c r="I47" s="565">
        <f>SUM(I31:I46)</f>
        <v>91494</v>
      </c>
      <c r="J47" s="575">
        <f>SUM(J31:J46)</f>
        <v>93288</v>
      </c>
      <c r="L47" s="178">
        <v>30.126</v>
      </c>
      <c r="M47" s="178"/>
      <c r="N47" s="178"/>
      <c r="O47" s="178"/>
      <c r="P47" s="178"/>
    </row>
    <row r="48" spans="12:16" ht="15">
      <c r="L48" s="178"/>
      <c r="M48" s="178"/>
      <c r="N48" s="178"/>
      <c r="O48" s="178"/>
      <c r="P48" s="178"/>
    </row>
    <row r="49" spans="12:16" ht="15.75" thickBot="1">
      <c r="L49" s="178"/>
      <c r="M49" s="178"/>
      <c r="N49" s="178"/>
      <c r="O49" s="178"/>
      <c r="P49" s="178"/>
    </row>
    <row r="50" spans="1:16" ht="15">
      <c r="A50" s="595" t="s">
        <v>664</v>
      </c>
      <c r="B50" s="596"/>
      <c r="C50" s="596"/>
      <c r="D50" s="596"/>
      <c r="E50" s="596"/>
      <c r="F50" s="597" t="s">
        <v>500</v>
      </c>
      <c r="G50" s="597" t="s">
        <v>501</v>
      </c>
      <c r="H50" s="711" t="s">
        <v>548</v>
      </c>
      <c r="I50" s="598" t="s">
        <v>548</v>
      </c>
      <c r="J50" s="599" t="s">
        <v>548</v>
      </c>
      <c r="L50" s="178"/>
      <c r="M50" s="178"/>
      <c r="N50" s="178"/>
      <c r="O50" s="178"/>
      <c r="P50" s="178"/>
    </row>
    <row r="51" spans="1:16" ht="15.75" thickBot="1">
      <c r="A51" s="591" t="s">
        <v>351</v>
      </c>
      <c r="B51" s="320" t="s">
        <v>7</v>
      </c>
      <c r="C51" s="320"/>
      <c r="D51" s="320"/>
      <c r="E51" s="320"/>
      <c r="F51" s="594">
        <v>2012</v>
      </c>
      <c r="G51" s="594" t="s">
        <v>550</v>
      </c>
      <c r="H51" s="712">
        <f>H9</f>
        <v>2013</v>
      </c>
      <c r="I51" s="321">
        <f>I30</f>
        <v>2014</v>
      </c>
      <c r="J51" s="322">
        <f>J30</f>
        <v>2015</v>
      </c>
      <c r="L51" s="178"/>
      <c r="M51" s="178"/>
      <c r="N51" s="178"/>
      <c r="O51" s="178"/>
      <c r="P51" s="178"/>
    </row>
    <row r="52" spans="1:16" ht="15">
      <c r="A52" s="317">
        <v>16</v>
      </c>
      <c r="B52" s="10" t="s">
        <v>255</v>
      </c>
      <c r="C52" s="10"/>
      <c r="D52" s="10" t="s">
        <v>256</v>
      </c>
      <c r="E52" s="10"/>
      <c r="F52" s="552">
        <f>'VÝD-10'!L610</f>
        <v>4050</v>
      </c>
      <c r="G52" s="552">
        <f>'VÝD-10'!M610</f>
        <v>8277.18</v>
      </c>
      <c r="H52" s="710">
        <f>'VÝD-10'!N610</f>
        <v>4050</v>
      </c>
      <c r="I52" s="564">
        <f>'VÝD-10'!O610</f>
        <v>4050</v>
      </c>
      <c r="J52" s="574">
        <f>'VÝD-10'!P610</f>
        <v>4050</v>
      </c>
      <c r="L52" s="178"/>
      <c r="M52" s="178"/>
      <c r="N52" s="178"/>
      <c r="O52" s="178"/>
      <c r="P52" s="178"/>
    </row>
    <row r="53" spans="1:16" ht="15">
      <c r="A53" s="584">
        <v>16</v>
      </c>
      <c r="B53" s="32" t="s">
        <v>255</v>
      </c>
      <c r="C53" s="32"/>
      <c r="D53" s="32" t="s">
        <v>257</v>
      </c>
      <c r="E53" s="32"/>
      <c r="F53" s="586">
        <f>'VÝD-10'!L611</f>
        <v>5980</v>
      </c>
      <c r="G53" s="586">
        <f>'VÝD-10'!M611</f>
        <v>8080.05</v>
      </c>
      <c r="H53" s="709">
        <f>'VÝD-10'!N611</f>
        <v>5980</v>
      </c>
      <c r="I53" s="587">
        <f>'VÝD-10'!O611</f>
        <v>5980</v>
      </c>
      <c r="J53" s="588">
        <f>'VÝD-10'!P611</f>
        <v>5980</v>
      </c>
      <c r="L53" s="178"/>
      <c r="M53" s="178"/>
      <c r="N53" s="178"/>
      <c r="O53" s="178"/>
      <c r="P53" s="178"/>
    </row>
    <row r="54" spans="1:16" ht="15">
      <c r="A54" s="317">
        <v>16</v>
      </c>
      <c r="B54" s="10" t="s">
        <v>255</v>
      </c>
      <c r="C54" s="10"/>
      <c r="D54" s="10" t="s">
        <v>215</v>
      </c>
      <c r="E54" s="10"/>
      <c r="F54" s="552">
        <f>'VÝD-10'!L612</f>
        <v>10490</v>
      </c>
      <c r="G54" s="552">
        <f>'VÝD-10'!M612</f>
        <v>11121.89</v>
      </c>
      <c r="H54" s="710">
        <f>'VÝD-10'!N612</f>
        <v>10490</v>
      </c>
      <c r="I54" s="564">
        <f>'VÝD-10'!O612</f>
        <v>10490</v>
      </c>
      <c r="J54" s="574">
        <f>'VÝD-10'!P612</f>
        <v>10490</v>
      </c>
      <c r="L54" s="178"/>
      <c r="M54" s="178"/>
      <c r="N54" s="178"/>
      <c r="O54" s="178"/>
      <c r="P54" s="178"/>
    </row>
    <row r="55" spans="1:16" ht="15">
      <c r="A55" s="584">
        <v>16</v>
      </c>
      <c r="B55" s="32" t="s">
        <v>255</v>
      </c>
      <c r="C55" s="32"/>
      <c r="D55" s="32" t="s">
        <v>258</v>
      </c>
      <c r="E55" s="32"/>
      <c r="F55" s="586">
        <f>'VÝD-10'!L613</f>
        <v>14580</v>
      </c>
      <c r="G55" s="586">
        <f>'VÝD-10'!M613</f>
        <v>15425</v>
      </c>
      <c r="H55" s="709">
        <f>'VÝD-10'!N613</f>
        <v>14580</v>
      </c>
      <c r="I55" s="587">
        <f>'VÝD-10'!O613</f>
        <v>14580</v>
      </c>
      <c r="J55" s="588">
        <f>'VÝD-10'!P613</f>
        <v>14580</v>
      </c>
      <c r="L55" s="178"/>
      <c r="M55" s="178"/>
      <c r="N55" s="178"/>
      <c r="O55" s="178"/>
      <c r="P55" s="178"/>
    </row>
    <row r="56" spans="1:16" ht="15">
      <c r="A56" s="317">
        <v>16</v>
      </c>
      <c r="B56" s="10" t="s">
        <v>260</v>
      </c>
      <c r="C56" s="10"/>
      <c r="D56" s="10" t="s">
        <v>215</v>
      </c>
      <c r="E56" s="10"/>
      <c r="F56" s="552">
        <f>'VÝD-10'!L616</f>
        <v>17551</v>
      </c>
      <c r="G56" s="552">
        <f>'VÝD-10'!M616</f>
        <v>18886.71</v>
      </c>
      <c r="H56" s="710">
        <f>'VÝD-10'!N616</f>
        <v>17551</v>
      </c>
      <c r="I56" s="564">
        <f>'VÝD-10'!O616</f>
        <v>17551</v>
      </c>
      <c r="J56" s="574">
        <f>'VÝD-10'!P616</f>
        <v>17551</v>
      </c>
      <c r="L56" s="178"/>
      <c r="M56" s="178"/>
      <c r="N56" s="178"/>
      <c r="O56" s="178"/>
      <c r="P56" s="178"/>
    </row>
    <row r="57" spans="1:16" ht="15">
      <c r="A57" s="584">
        <v>16</v>
      </c>
      <c r="B57" s="32" t="s">
        <v>261</v>
      </c>
      <c r="C57" s="32"/>
      <c r="D57" s="32" t="s">
        <v>258</v>
      </c>
      <c r="E57" s="32"/>
      <c r="F57" s="586">
        <f>'VÝD-10'!L617</f>
        <v>21266</v>
      </c>
      <c r="G57" s="586">
        <f>'VÝD-10'!M617</f>
        <v>21266.28</v>
      </c>
      <c r="H57" s="709">
        <f>'VÝD-10'!N617</f>
        <v>21266</v>
      </c>
      <c r="I57" s="587">
        <f>'VÝD-10'!O617</f>
        <v>21266</v>
      </c>
      <c r="J57" s="588">
        <f>'VÝD-10'!P617</f>
        <v>21266</v>
      </c>
      <c r="L57" s="178"/>
      <c r="M57" s="178"/>
      <c r="N57" s="178"/>
      <c r="O57" s="178"/>
      <c r="P57" s="178"/>
    </row>
    <row r="58" spans="1:16" ht="15.75" thickBot="1">
      <c r="A58" s="318"/>
      <c r="B58" s="319" t="s">
        <v>357</v>
      </c>
      <c r="C58" s="319"/>
      <c r="D58" s="319"/>
      <c r="E58" s="319"/>
      <c r="F58" s="553">
        <f>SUM(F52:F57)</f>
        <v>73917</v>
      </c>
      <c r="G58" s="553">
        <f>SUM(G52:G57)</f>
        <v>83057.10999999999</v>
      </c>
      <c r="H58" s="565">
        <f>SUM(H52:H57)</f>
        <v>73917</v>
      </c>
      <c r="I58" s="565">
        <f>SUM(I52:I57)</f>
        <v>73917</v>
      </c>
      <c r="J58" s="575">
        <f>SUM(J52:J57)</f>
        <v>73917</v>
      </c>
      <c r="L58" s="178">
        <v>30.126</v>
      </c>
      <c r="M58" s="178">
        <f>H58*L58</f>
        <v>2226823.542</v>
      </c>
      <c r="N58" s="178"/>
      <c r="O58" s="178"/>
      <c r="P58" s="178"/>
    </row>
    <row r="59" spans="12:16" ht="15">
      <c r="L59" s="178"/>
      <c r="M59" s="178"/>
      <c r="N59" s="178"/>
      <c r="O59" s="178"/>
      <c r="P59" s="178"/>
    </row>
    <row r="60" spans="9:16" ht="15.75" thickBot="1">
      <c r="I60" s="561">
        <v>0.02</v>
      </c>
      <c r="J60" s="561">
        <v>0.04</v>
      </c>
      <c r="L60" s="178"/>
      <c r="M60" s="178"/>
      <c r="N60" s="178"/>
      <c r="O60" s="178"/>
      <c r="P60" s="178"/>
    </row>
    <row r="61" spans="1:16" ht="15">
      <c r="A61" s="595" t="s">
        <v>665</v>
      </c>
      <c r="B61" s="596"/>
      <c r="C61" s="596"/>
      <c r="D61" s="596"/>
      <c r="E61" s="596"/>
      <c r="F61" s="597" t="s">
        <v>500</v>
      </c>
      <c r="G61" s="597" t="s">
        <v>501</v>
      </c>
      <c r="H61" s="711" t="s">
        <v>548</v>
      </c>
      <c r="I61" s="598" t="s">
        <v>548</v>
      </c>
      <c r="J61" s="599" t="s">
        <v>548</v>
      </c>
      <c r="L61" s="178"/>
      <c r="M61" s="178"/>
      <c r="N61" s="178"/>
      <c r="O61" s="178"/>
      <c r="P61" s="178"/>
    </row>
    <row r="62" spans="1:16" ht="15.75" thickBot="1">
      <c r="A62" s="591" t="s">
        <v>351</v>
      </c>
      <c r="B62" s="320" t="s">
        <v>7</v>
      </c>
      <c r="C62" s="320"/>
      <c r="D62" s="320"/>
      <c r="E62" s="320"/>
      <c r="F62" s="594">
        <v>2012</v>
      </c>
      <c r="G62" s="594" t="s">
        <v>550</v>
      </c>
      <c r="H62" s="712">
        <f>H9</f>
        <v>2013</v>
      </c>
      <c r="I62" s="321">
        <f>I51</f>
        <v>2014</v>
      </c>
      <c r="J62" s="322">
        <f>J51</f>
        <v>2015</v>
      </c>
      <c r="L62" s="178"/>
      <c r="M62" s="178"/>
      <c r="N62" s="178"/>
      <c r="O62" s="178"/>
      <c r="P62" s="178"/>
    </row>
    <row r="63" spans="1:16" ht="15">
      <c r="A63" s="317">
        <v>1</v>
      </c>
      <c r="B63" s="592" t="s">
        <v>352</v>
      </c>
      <c r="C63" s="592"/>
      <c r="D63" s="592"/>
      <c r="E63" s="592"/>
      <c r="F63" s="552">
        <f aca="true" t="shared" si="0" ref="F63:G78">F10+F31</f>
        <v>87278</v>
      </c>
      <c r="G63" s="552">
        <f t="shared" si="0"/>
        <v>68589.24</v>
      </c>
      <c r="H63" s="710">
        <f aca="true" t="shared" si="1" ref="H63:H76">H10+H31</f>
        <v>86026</v>
      </c>
      <c r="I63" s="564">
        <f aca="true" t="shared" si="2" ref="I63:J67">I10+I31</f>
        <v>78205.64</v>
      </c>
      <c r="J63" s="574">
        <f t="shared" si="2"/>
        <v>79779.28</v>
      </c>
      <c r="L63" s="178"/>
      <c r="M63" s="380"/>
      <c r="N63" s="178"/>
      <c r="O63" s="178"/>
      <c r="P63" s="178"/>
    </row>
    <row r="64" spans="1:16" ht="15">
      <c r="A64" s="584">
        <v>2</v>
      </c>
      <c r="B64" s="585" t="s">
        <v>638</v>
      </c>
      <c r="C64" s="585"/>
      <c r="D64" s="585"/>
      <c r="E64" s="585"/>
      <c r="F64" s="586">
        <f t="shared" si="0"/>
        <v>16034</v>
      </c>
      <c r="G64" s="586">
        <f t="shared" si="0"/>
        <v>15240.439999999999</v>
      </c>
      <c r="H64" s="709">
        <f t="shared" si="1"/>
        <v>19603</v>
      </c>
      <c r="I64" s="587">
        <f t="shared" si="2"/>
        <v>19935.06</v>
      </c>
      <c r="J64" s="588">
        <f t="shared" si="2"/>
        <v>20267.12</v>
      </c>
      <c r="L64" s="178"/>
      <c r="M64" s="380"/>
      <c r="N64" s="178"/>
      <c r="O64" s="178"/>
      <c r="P64" s="178"/>
    </row>
    <row r="65" spans="1:16" ht="15">
      <c r="A65" s="317">
        <v>3</v>
      </c>
      <c r="B65" s="578" t="s">
        <v>639</v>
      </c>
      <c r="C65" s="578"/>
      <c r="D65" s="578"/>
      <c r="E65" s="578"/>
      <c r="F65" s="552">
        <f t="shared" si="0"/>
        <v>7951.66</v>
      </c>
      <c r="G65" s="552">
        <f t="shared" si="0"/>
        <v>5948.95</v>
      </c>
      <c r="H65" s="710">
        <f t="shared" si="1"/>
        <v>10929</v>
      </c>
      <c r="I65" s="564">
        <f t="shared" si="2"/>
        <v>11127.58</v>
      </c>
      <c r="J65" s="574">
        <f t="shared" si="2"/>
        <v>11326.16</v>
      </c>
      <c r="L65" s="178"/>
      <c r="M65" s="178"/>
      <c r="N65" s="178"/>
      <c r="O65" s="178"/>
      <c r="P65" s="178"/>
    </row>
    <row r="66" spans="1:16" ht="15">
      <c r="A66" s="584">
        <v>4</v>
      </c>
      <c r="B66" s="585" t="s">
        <v>643</v>
      </c>
      <c r="C66" s="585"/>
      <c r="D66" s="585"/>
      <c r="E66" s="585"/>
      <c r="F66" s="586">
        <f t="shared" si="0"/>
        <v>30083.62</v>
      </c>
      <c r="G66" s="586">
        <f t="shared" si="0"/>
        <v>22095.190000000002</v>
      </c>
      <c r="H66" s="709">
        <f t="shared" si="1"/>
        <v>28505</v>
      </c>
      <c r="I66" s="587">
        <f t="shared" si="2"/>
        <v>29075.100000000002</v>
      </c>
      <c r="J66" s="588">
        <f t="shared" si="2"/>
        <v>29645.199999999997</v>
      </c>
      <c r="L66" s="178"/>
      <c r="M66" s="178"/>
      <c r="N66" s="178"/>
      <c r="O66" s="178"/>
      <c r="P66" s="178"/>
    </row>
    <row r="67" spans="1:16" ht="15">
      <c r="A67" s="317">
        <v>5</v>
      </c>
      <c r="B67" s="578" t="s">
        <v>642</v>
      </c>
      <c r="C67" s="578"/>
      <c r="D67" s="578"/>
      <c r="E67" s="578"/>
      <c r="F67" s="552">
        <f t="shared" si="0"/>
        <v>136089.09</v>
      </c>
      <c r="G67" s="552">
        <f t="shared" si="0"/>
        <v>133331.46</v>
      </c>
      <c r="H67" s="710">
        <f t="shared" si="1"/>
        <v>43465</v>
      </c>
      <c r="I67" s="564">
        <f t="shared" si="2"/>
        <v>44334.3</v>
      </c>
      <c r="J67" s="574">
        <f>J14+J35</f>
        <v>45203.6</v>
      </c>
      <c r="L67" s="178"/>
      <c r="M67" s="178"/>
      <c r="N67" s="178"/>
      <c r="O67" s="178"/>
      <c r="P67" s="178"/>
    </row>
    <row r="68" spans="1:16" ht="15">
      <c r="A68" s="584">
        <v>6</v>
      </c>
      <c r="B68" s="585" t="s">
        <v>640</v>
      </c>
      <c r="C68" s="585"/>
      <c r="D68" s="585"/>
      <c r="E68" s="585"/>
      <c r="F68" s="586">
        <f t="shared" si="0"/>
        <v>160374</v>
      </c>
      <c r="G68" s="586">
        <f t="shared" si="0"/>
        <v>153440.96999999997</v>
      </c>
      <c r="H68" s="709">
        <f t="shared" si="1"/>
        <v>145863</v>
      </c>
      <c r="I68" s="587">
        <f>I15+I36</f>
        <v>139600.26</v>
      </c>
      <c r="J68" s="588">
        <f>J15+J36</f>
        <v>142337.52</v>
      </c>
      <c r="L68" s="178"/>
      <c r="M68" s="178"/>
      <c r="N68" s="178"/>
      <c r="O68" s="178"/>
      <c r="P68" s="178"/>
    </row>
    <row r="69" spans="1:16" ht="15">
      <c r="A69" s="317">
        <v>7</v>
      </c>
      <c r="B69" s="578" t="s">
        <v>641</v>
      </c>
      <c r="C69" s="578"/>
      <c r="D69" s="578"/>
      <c r="E69" s="578"/>
      <c r="F69" s="552">
        <f t="shared" si="0"/>
        <v>2400</v>
      </c>
      <c r="G69" s="552">
        <f t="shared" si="0"/>
        <v>1870.27</v>
      </c>
      <c r="H69" s="710">
        <f t="shared" si="1"/>
        <v>2200</v>
      </c>
      <c r="I69" s="564">
        <f>I16+I37</f>
        <v>2244</v>
      </c>
      <c r="J69" s="574">
        <f>J16+J37</f>
        <v>2288</v>
      </c>
      <c r="L69" s="178"/>
      <c r="M69" s="178"/>
      <c r="N69" s="178"/>
      <c r="O69" s="178"/>
      <c r="P69" s="178"/>
    </row>
    <row r="70" spans="1:16" ht="15">
      <c r="A70" s="584">
        <v>8</v>
      </c>
      <c r="B70" s="585" t="s">
        <v>644</v>
      </c>
      <c r="C70" s="585"/>
      <c r="D70" s="585"/>
      <c r="E70" s="585"/>
      <c r="F70" s="586">
        <f t="shared" si="0"/>
        <v>137876.15</v>
      </c>
      <c r="G70" s="586">
        <f t="shared" si="0"/>
        <v>62853.990000000005</v>
      </c>
      <c r="H70" s="709">
        <f t="shared" si="1"/>
        <v>70106</v>
      </c>
      <c r="I70" s="587">
        <f>I38+I17</f>
        <v>71508.12</v>
      </c>
      <c r="J70" s="588">
        <f aca="true" t="shared" si="3" ref="J70:J77">J17+J38</f>
        <v>72910.24</v>
      </c>
      <c r="L70" s="178"/>
      <c r="M70" s="178"/>
      <c r="N70" s="178"/>
      <c r="O70" s="178"/>
      <c r="P70" s="178"/>
    </row>
    <row r="71" spans="1:16" ht="15">
      <c r="A71" s="317">
        <v>9</v>
      </c>
      <c r="B71" s="578" t="s">
        <v>645</v>
      </c>
      <c r="C71" s="578"/>
      <c r="D71" s="578"/>
      <c r="E71" s="578"/>
      <c r="F71" s="552">
        <f t="shared" si="0"/>
        <v>184641.19</v>
      </c>
      <c r="G71" s="552">
        <f t="shared" si="0"/>
        <v>199280.07</v>
      </c>
      <c r="H71" s="710">
        <f t="shared" si="1"/>
        <v>11552</v>
      </c>
      <c r="I71" s="564">
        <f>I18+I39</f>
        <v>11784</v>
      </c>
      <c r="J71" s="574">
        <f t="shared" si="3"/>
        <v>12014.08</v>
      </c>
      <c r="L71" s="178"/>
      <c r="M71" s="178"/>
      <c r="N71" s="178"/>
      <c r="O71" s="178"/>
      <c r="P71" s="178"/>
    </row>
    <row r="72" spans="1:16" ht="15">
      <c r="A72" s="584">
        <v>10</v>
      </c>
      <c r="B72" s="585" t="s">
        <v>646</v>
      </c>
      <c r="C72" s="585"/>
      <c r="D72" s="585"/>
      <c r="E72" s="585"/>
      <c r="F72" s="586">
        <f t="shared" si="0"/>
        <v>68491</v>
      </c>
      <c r="G72" s="586">
        <f t="shared" si="0"/>
        <v>58249.69</v>
      </c>
      <c r="H72" s="709">
        <f t="shared" si="1"/>
        <v>54064</v>
      </c>
      <c r="I72" s="587">
        <f>I19+I41</f>
        <v>66569.28</v>
      </c>
      <c r="J72" s="588">
        <f t="shared" si="3"/>
        <v>56226.56</v>
      </c>
      <c r="L72" s="178"/>
      <c r="M72" s="178"/>
      <c r="N72" s="178"/>
      <c r="O72" s="178"/>
      <c r="P72" s="178"/>
    </row>
    <row r="73" spans="1:16" ht="15">
      <c r="A73" s="317">
        <v>11</v>
      </c>
      <c r="B73" s="578" t="s">
        <v>647</v>
      </c>
      <c r="C73" s="578"/>
      <c r="D73" s="578"/>
      <c r="E73" s="578"/>
      <c r="F73" s="552">
        <f t="shared" si="0"/>
        <v>15680</v>
      </c>
      <c r="G73" s="552">
        <f t="shared" si="0"/>
        <v>4592.290000000001</v>
      </c>
      <c r="H73" s="710">
        <f t="shared" si="1"/>
        <v>17010</v>
      </c>
      <c r="I73" s="564">
        <f>I20+I41</f>
        <v>17350.2</v>
      </c>
      <c r="J73" s="574">
        <f t="shared" si="3"/>
        <v>17690.4</v>
      </c>
      <c r="L73" s="178"/>
      <c r="M73" s="178"/>
      <c r="N73" s="178"/>
      <c r="O73" s="178"/>
      <c r="P73" s="178"/>
    </row>
    <row r="74" spans="1:16" ht="15">
      <c r="A74" s="584">
        <v>12</v>
      </c>
      <c r="B74" s="585" t="s">
        <v>648</v>
      </c>
      <c r="C74" s="585"/>
      <c r="D74" s="585"/>
      <c r="E74" s="585"/>
      <c r="F74" s="586">
        <f t="shared" si="0"/>
        <v>70827.87999999999</v>
      </c>
      <c r="G74" s="586">
        <f t="shared" si="0"/>
        <v>58885.42</v>
      </c>
      <c r="H74" s="709">
        <f t="shared" si="1"/>
        <v>56296</v>
      </c>
      <c r="I74" s="587">
        <f>I21+I42</f>
        <v>57421.92</v>
      </c>
      <c r="J74" s="588">
        <f t="shared" si="3"/>
        <v>58547.840000000004</v>
      </c>
      <c r="L74" s="178"/>
      <c r="M74" s="178"/>
      <c r="N74" s="178"/>
      <c r="O74" s="178"/>
      <c r="P74" s="178"/>
    </row>
    <row r="75" spans="1:16" ht="15">
      <c r="A75" s="317">
        <v>13</v>
      </c>
      <c r="B75" s="578" t="s">
        <v>649</v>
      </c>
      <c r="C75" s="578"/>
      <c r="D75" s="578"/>
      <c r="E75" s="578"/>
      <c r="F75" s="552">
        <f t="shared" si="0"/>
        <v>28798</v>
      </c>
      <c r="G75" s="552">
        <f t="shared" si="0"/>
        <v>24001.79</v>
      </c>
      <c r="H75" s="710">
        <f t="shared" si="1"/>
        <v>21201</v>
      </c>
      <c r="I75" s="564">
        <f>I22+I43</f>
        <v>21625.02</v>
      </c>
      <c r="J75" s="574">
        <f t="shared" si="3"/>
        <v>22049.04</v>
      </c>
      <c r="L75" s="178"/>
      <c r="M75" s="178"/>
      <c r="N75" s="178"/>
      <c r="O75" s="178"/>
      <c r="P75" s="178"/>
    </row>
    <row r="76" spans="1:16" ht="15">
      <c r="A76" s="584">
        <v>14</v>
      </c>
      <c r="B76" s="585" t="s">
        <v>650</v>
      </c>
      <c r="C76" s="585"/>
      <c r="D76" s="585"/>
      <c r="E76" s="585"/>
      <c r="F76" s="586">
        <f t="shared" si="0"/>
        <v>188420.38</v>
      </c>
      <c r="G76" s="586">
        <f t="shared" si="0"/>
        <v>177197.03999999998</v>
      </c>
      <c r="H76" s="709">
        <f t="shared" si="1"/>
        <v>244681</v>
      </c>
      <c r="I76" s="587">
        <f>I23+I44</f>
        <v>249574.62</v>
      </c>
      <c r="J76" s="588">
        <f t="shared" si="3"/>
        <v>254468.24</v>
      </c>
      <c r="L76" s="178"/>
      <c r="M76" s="178"/>
      <c r="N76" s="178"/>
      <c r="O76" s="178"/>
      <c r="P76" s="178"/>
    </row>
    <row r="77" spans="1:16" ht="15">
      <c r="A77" s="317">
        <v>15</v>
      </c>
      <c r="B77" s="578" t="s">
        <v>651</v>
      </c>
      <c r="C77" s="578"/>
      <c r="D77" s="578"/>
      <c r="E77" s="578"/>
      <c r="F77" s="552">
        <f t="shared" si="0"/>
        <v>188449</v>
      </c>
      <c r="G77" s="552">
        <f t="shared" si="0"/>
        <v>218126.72000000003</v>
      </c>
      <c r="H77" s="710">
        <f>H24+H45</f>
        <v>173161</v>
      </c>
      <c r="I77" s="564">
        <f>I24+I45</f>
        <v>176624.22</v>
      </c>
      <c r="J77" s="574">
        <f t="shared" si="3"/>
        <v>180087.44</v>
      </c>
      <c r="L77" s="178"/>
      <c r="M77" s="178"/>
      <c r="N77" s="178"/>
      <c r="O77" s="178"/>
      <c r="P77" s="178"/>
    </row>
    <row r="78" spans="1:16" ht="15">
      <c r="A78" s="584">
        <v>16</v>
      </c>
      <c r="B78" s="585" t="s">
        <v>353</v>
      </c>
      <c r="C78" s="585"/>
      <c r="D78" s="585"/>
      <c r="E78" s="585"/>
      <c r="F78" s="586">
        <f t="shared" si="0"/>
        <v>39220</v>
      </c>
      <c r="G78" s="586">
        <f t="shared" si="0"/>
        <v>35224.07</v>
      </c>
      <c r="H78" s="709">
        <f>H46+H25</f>
        <v>39220</v>
      </c>
      <c r="I78" s="587">
        <f>I25</f>
        <v>39220</v>
      </c>
      <c r="J78" s="588">
        <f>J25</f>
        <v>39220</v>
      </c>
      <c r="L78" s="178"/>
      <c r="M78" s="178"/>
      <c r="N78" s="178"/>
      <c r="O78" s="178"/>
      <c r="P78" s="178"/>
    </row>
    <row r="79" spans="1:16" ht="15.75" thickBot="1">
      <c r="A79" s="759" t="s">
        <v>358</v>
      </c>
      <c r="B79" s="760"/>
      <c r="C79" s="760"/>
      <c r="D79" s="760"/>
      <c r="E79" s="760"/>
      <c r="F79" s="553">
        <f>SUM(F63:F78)</f>
        <v>1362613.97</v>
      </c>
      <c r="G79" s="553">
        <f>SUM(G63:G78)</f>
        <v>1238927.6</v>
      </c>
      <c r="H79" s="565">
        <f>SUM(H63:H78)</f>
        <v>1023882</v>
      </c>
      <c r="I79" s="566">
        <f>SUM(I63:I78)</f>
        <v>1036199.32</v>
      </c>
      <c r="J79" s="576">
        <f>SUM(J63:J78)</f>
        <v>1044060.72</v>
      </c>
      <c r="L79" s="178">
        <v>30.126</v>
      </c>
      <c r="M79" s="178">
        <f>H79*L79</f>
        <v>30845469.132000003</v>
      </c>
      <c r="N79" s="178"/>
      <c r="O79" s="178"/>
      <c r="P79" s="178"/>
    </row>
    <row r="80" spans="12:16" ht="15">
      <c r="L80" s="178"/>
      <c r="M80" s="178"/>
      <c r="N80" s="178"/>
      <c r="O80" s="178"/>
      <c r="P80" s="178"/>
    </row>
    <row r="81" spans="6:10" s="178" customFormat="1" ht="15.75" thickBot="1">
      <c r="F81" s="554"/>
      <c r="G81" s="554"/>
      <c r="H81" s="570"/>
      <c r="I81" s="560">
        <f>I80-I79</f>
        <v>-1036199.32</v>
      </c>
      <c r="J81" s="560">
        <f>J80-J79</f>
        <v>-1044060.72</v>
      </c>
    </row>
    <row r="82" spans="2:16" ht="15.75" thickBot="1">
      <c r="B82" s="325" t="s">
        <v>629</v>
      </c>
      <c r="C82" s="326"/>
      <c r="D82" s="326"/>
      <c r="E82" s="326"/>
      <c r="F82" s="555">
        <v>2012</v>
      </c>
      <c r="G82" s="555" t="s">
        <v>550</v>
      </c>
      <c r="H82" s="713">
        <f>H62</f>
        <v>2013</v>
      </c>
      <c r="I82" s="567">
        <f>I62</f>
        <v>2014</v>
      </c>
      <c r="J82" s="577">
        <f>J62</f>
        <v>2015</v>
      </c>
      <c r="L82" s="178"/>
      <c r="M82" s="178"/>
      <c r="N82" s="178"/>
      <c r="O82" s="178"/>
      <c r="P82" s="178"/>
    </row>
    <row r="83" spans="2:16" ht="15">
      <c r="B83" s="95" t="s">
        <v>359</v>
      </c>
      <c r="C83" s="10"/>
      <c r="D83" s="10"/>
      <c r="E83" s="10"/>
      <c r="F83" s="552">
        <f>F26</f>
        <v>1019045.97</v>
      </c>
      <c r="G83" s="552">
        <f>G26</f>
        <v>961254.05</v>
      </c>
      <c r="H83" s="714">
        <f>H26</f>
        <v>916182</v>
      </c>
      <c r="I83" s="568">
        <f>I26</f>
        <v>933281.32</v>
      </c>
      <c r="J83" s="574">
        <f>J26</f>
        <v>950772.72</v>
      </c>
      <c r="L83" s="178"/>
      <c r="M83" s="178"/>
      <c r="N83" s="178"/>
      <c r="O83" s="178"/>
      <c r="P83" s="178"/>
    </row>
    <row r="84" spans="2:16" ht="15">
      <c r="B84" s="299" t="s">
        <v>360</v>
      </c>
      <c r="C84" s="32"/>
      <c r="D84" s="32"/>
      <c r="E84" s="32"/>
      <c r="F84" s="586">
        <f>F47</f>
        <v>343568</v>
      </c>
      <c r="G84" s="586">
        <f>G47</f>
        <v>277673.55000000005</v>
      </c>
      <c r="H84" s="715">
        <f>H47</f>
        <v>107700</v>
      </c>
      <c r="I84" s="593">
        <f>I47</f>
        <v>91494</v>
      </c>
      <c r="J84" s="588">
        <f>J47</f>
        <v>93288</v>
      </c>
      <c r="L84" s="178"/>
      <c r="M84" s="178"/>
      <c r="N84" s="178"/>
      <c r="O84" s="178"/>
      <c r="P84" s="178"/>
    </row>
    <row r="85" spans="2:16" ht="15">
      <c r="B85" s="299" t="s">
        <v>378</v>
      </c>
      <c r="C85" s="32"/>
      <c r="D85" s="32"/>
      <c r="E85" s="32"/>
      <c r="F85" s="586">
        <f>F58</f>
        <v>73917</v>
      </c>
      <c r="G85" s="586">
        <f>G58</f>
        <v>83057.10999999999</v>
      </c>
      <c r="H85" s="715">
        <f>'VÝD-10'!N614+'VÝD-10'!N618</f>
        <v>73917</v>
      </c>
      <c r="I85" s="593">
        <f>I58</f>
        <v>73917</v>
      </c>
      <c r="J85" s="588">
        <f>J58</f>
        <v>73917</v>
      </c>
      <c r="L85" s="178"/>
      <c r="M85" s="178"/>
      <c r="N85" s="178"/>
      <c r="O85" s="178"/>
      <c r="P85" s="178"/>
    </row>
    <row r="86" spans="2:16" ht="15.75" thickBot="1">
      <c r="B86" s="324" t="s">
        <v>361</v>
      </c>
      <c r="C86" s="319"/>
      <c r="D86" s="319"/>
      <c r="E86" s="319"/>
      <c r="F86" s="553">
        <f>SUM(F83:F85)</f>
        <v>1436530.97</v>
      </c>
      <c r="G86" s="553">
        <f>SUM(G83:G85)</f>
        <v>1321984.71</v>
      </c>
      <c r="H86" s="575">
        <f>SUM(H83:H85)</f>
        <v>1097799</v>
      </c>
      <c r="I86" s="569">
        <f>SUM(I83:I85)</f>
        <v>1098692.3199999998</v>
      </c>
      <c r="J86" s="575">
        <f>SUM(J83:J85)</f>
        <v>1117977.72</v>
      </c>
      <c r="L86" s="178">
        <v>30.126</v>
      </c>
      <c r="M86" s="178">
        <f>H86*L86</f>
        <v>33072292.674000002</v>
      </c>
      <c r="N86" s="178"/>
      <c r="O86" s="178">
        <v>1223766</v>
      </c>
      <c r="P86" s="331">
        <f>O86-H86</f>
        <v>125967</v>
      </c>
    </row>
    <row r="87" spans="12:16" ht="15.75" thickBot="1">
      <c r="L87" s="178"/>
      <c r="M87" s="178"/>
      <c r="N87" s="178"/>
      <c r="O87" s="178"/>
      <c r="P87" s="178"/>
    </row>
    <row r="88" spans="2:16" ht="15">
      <c r="B88" s="295" t="s">
        <v>666</v>
      </c>
      <c r="C88" s="103"/>
      <c r="D88" s="103"/>
      <c r="E88" s="103"/>
      <c r="F88" s="556"/>
      <c r="G88" s="556"/>
      <c r="H88" s="716">
        <f>H86</f>
        <v>1097799</v>
      </c>
      <c r="L88" s="178"/>
      <c r="M88" s="178"/>
      <c r="N88" s="178"/>
      <c r="O88" s="178"/>
      <c r="P88" s="178"/>
    </row>
    <row r="89" spans="2:16" ht="15">
      <c r="B89" s="299" t="s">
        <v>667</v>
      </c>
      <c r="C89" s="32"/>
      <c r="D89" s="32"/>
      <c r="E89" s="32"/>
      <c r="F89" s="586"/>
      <c r="G89" s="586"/>
      <c r="H89" s="715">
        <f>'VÝD-10'!N631</f>
        <v>210000</v>
      </c>
      <c r="L89" s="178"/>
      <c r="M89" s="178"/>
      <c r="N89" s="178"/>
      <c r="O89" s="178"/>
      <c r="P89" s="178"/>
    </row>
    <row r="90" spans="2:16" ht="15">
      <c r="B90" s="95" t="s">
        <v>557</v>
      </c>
      <c r="C90" s="10"/>
      <c r="D90" s="10"/>
      <c r="E90" s="10"/>
      <c r="F90" s="552"/>
      <c r="G90" s="552"/>
      <c r="H90" s="714">
        <f>'VÝD-10'!N630</f>
        <v>322590</v>
      </c>
      <c r="I90" s="570"/>
      <c r="J90" s="570"/>
      <c r="L90" s="178"/>
      <c r="M90" s="178"/>
      <c r="N90" s="178"/>
      <c r="O90" s="178"/>
      <c r="P90" s="178"/>
    </row>
    <row r="91" spans="2:16" ht="15">
      <c r="B91" s="299" t="s">
        <v>628</v>
      </c>
      <c r="C91" s="32"/>
      <c r="D91" s="32"/>
      <c r="E91" s="32"/>
      <c r="F91" s="586"/>
      <c r="G91" s="586"/>
      <c r="H91" s="715">
        <f>'VÝD-10'!N633</f>
        <v>16000</v>
      </c>
      <c r="I91" s="570"/>
      <c r="J91" s="570"/>
      <c r="L91" s="178"/>
      <c r="M91" s="178"/>
      <c r="N91" s="178"/>
      <c r="O91" s="178"/>
      <c r="P91" s="178"/>
    </row>
    <row r="92" spans="1:16" ht="15.75" thickBot="1">
      <c r="A92" s="10"/>
      <c r="B92" s="327" t="s">
        <v>418</v>
      </c>
      <c r="C92" s="328"/>
      <c r="D92" s="328"/>
      <c r="E92" s="328"/>
      <c r="F92" s="557"/>
      <c r="G92" s="557"/>
      <c r="H92" s="717">
        <f>SUM(H88:H91)</f>
        <v>1646389</v>
      </c>
      <c r="I92" s="564"/>
      <c r="J92" s="564"/>
      <c r="L92" s="178">
        <v>30.126</v>
      </c>
      <c r="M92" s="178">
        <f>H92*L92</f>
        <v>49599115.014</v>
      </c>
      <c r="N92" s="178"/>
      <c r="O92" s="178"/>
      <c r="P92" s="178"/>
    </row>
    <row r="93" spans="1:16" ht="15.75" thickTop="1">
      <c r="A93" s="24" t="s">
        <v>625</v>
      </c>
      <c r="H93" s="659"/>
      <c r="I93" s="571"/>
      <c r="J93" s="571"/>
      <c r="L93" s="178"/>
      <c r="M93" s="178"/>
      <c r="N93" s="178"/>
      <c r="O93" s="178"/>
      <c r="P93" s="178"/>
    </row>
    <row r="94" spans="1:16" ht="15">
      <c r="A94" s="24" t="s">
        <v>480</v>
      </c>
      <c r="H94" s="659"/>
      <c r="I94" s="571"/>
      <c r="J94" s="571"/>
      <c r="L94" s="178"/>
      <c r="M94" s="178"/>
      <c r="N94" s="178"/>
      <c r="O94" s="178"/>
      <c r="P94" s="178"/>
    </row>
    <row r="95" spans="1:10" s="1" customFormat="1" ht="15">
      <c r="A95" s="518" t="s">
        <v>676</v>
      </c>
      <c r="B95" s="518"/>
      <c r="C95" s="518"/>
      <c r="D95" s="518"/>
      <c r="E95" s="518"/>
      <c r="F95" s="549"/>
      <c r="G95" s="549"/>
      <c r="H95" s="659"/>
      <c r="I95" s="549"/>
      <c r="J95" s="549"/>
    </row>
    <row r="96" spans="1:10" ht="15">
      <c r="A96" s="652" t="s">
        <v>674</v>
      </c>
      <c r="B96" s="652"/>
      <c r="C96" s="652"/>
      <c r="D96" s="652"/>
      <c r="E96" s="652"/>
      <c r="F96" s="660"/>
      <c r="G96" s="571"/>
      <c r="H96" s="659"/>
      <c r="I96" s="571"/>
      <c r="J96" s="571"/>
    </row>
    <row r="97" spans="1:10" ht="15">
      <c r="A97" s="652" t="s">
        <v>397</v>
      </c>
      <c r="B97" s="652"/>
      <c r="C97" s="652"/>
      <c r="D97" s="652"/>
      <c r="E97" s="652"/>
      <c r="F97" s="660"/>
      <c r="G97" s="571"/>
      <c r="H97" s="659"/>
      <c r="I97" s="571"/>
      <c r="J97" s="571"/>
    </row>
    <row r="98" spans="1:10" ht="15">
      <c r="A98" s="652" t="s">
        <v>441</v>
      </c>
      <c r="B98" s="654"/>
      <c r="C98" s="655">
        <v>41352</v>
      </c>
      <c r="D98" s="652"/>
      <c r="E98" s="652"/>
      <c r="F98" s="660"/>
      <c r="G98" s="571"/>
      <c r="H98" s="659"/>
      <c r="I98" s="571"/>
      <c r="J98" s="571"/>
    </row>
    <row r="99" spans="1:10" ht="15">
      <c r="A99" s="652" t="s">
        <v>673</v>
      </c>
      <c r="B99" s="655"/>
      <c r="C99" s="652"/>
      <c r="D99" s="652"/>
      <c r="E99" s="652"/>
      <c r="F99" s="660"/>
      <c r="G99" s="571"/>
      <c r="H99" s="659"/>
      <c r="I99" s="571"/>
      <c r="J99" s="571"/>
    </row>
    <row r="100" spans="1:16" ht="15">
      <c r="A100" s="393"/>
      <c r="B100" s="394"/>
      <c r="C100" s="393"/>
      <c r="D100" s="393"/>
      <c r="E100" s="393"/>
      <c r="F100" s="558"/>
      <c r="G100" s="559"/>
      <c r="H100" s="718"/>
      <c r="I100" s="571"/>
      <c r="J100" s="571"/>
      <c r="L100" s="178">
        <f>L99-L98</f>
        <v>0</v>
      </c>
      <c r="M100" s="178"/>
      <c r="N100" s="178"/>
      <c r="O100" s="178"/>
      <c r="P100" s="178"/>
    </row>
    <row r="101" spans="12:16" ht="15">
      <c r="L101" s="178"/>
      <c r="M101" s="178"/>
      <c r="N101" s="178"/>
      <c r="O101" s="178"/>
      <c r="P101" s="178"/>
    </row>
    <row r="102" spans="12:16" ht="15">
      <c r="L102" s="178"/>
      <c r="M102" s="178"/>
      <c r="N102" s="178"/>
      <c r="O102" s="178"/>
      <c r="P102" s="178"/>
    </row>
    <row r="103" spans="12:16" ht="15">
      <c r="L103" s="178"/>
      <c r="M103" s="178"/>
      <c r="N103" s="178"/>
      <c r="O103" s="178"/>
      <c r="P103" s="178"/>
    </row>
    <row r="104" spans="12:16" ht="15">
      <c r="L104" s="178"/>
      <c r="M104" s="178"/>
      <c r="N104" s="178"/>
      <c r="O104" s="178"/>
      <c r="P104" s="178"/>
    </row>
    <row r="105" spans="12:16" ht="15">
      <c r="L105" s="178"/>
      <c r="M105" s="178"/>
      <c r="N105" s="178"/>
      <c r="O105" s="178"/>
      <c r="P105" s="178"/>
    </row>
    <row r="106" spans="12:16" ht="15">
      <c r="L106" s="178"/>
      <c r="M106" s="178"/>
      <c r="N106" s="178"/>
      <c r="O106" s="178"/>
      <c r="P106" s="178"/>
    </row>
    <row r="107" spans="12:16" ht="15">
      <c r="L107" s="178"/>
      <c r="M107" s="178"/>
      <c r="N107" s="178"/>
      <c r="O107" s="178"/>
      <c r="P107" s="178"/>
    </row>
    <row r="108" spans="12:16" ht="15">
      <c r="L108" s="178"/>
      <c r="M108" s="178"/>
      <c r="N108" s="178"/>
      <c r="O108" s="178"/>
      <c r="P108" s="178"/>
    </row>
  </sheetData>
  <sheetProtection/>
  <mergeCells count="5">
    <mergeCell ref="A79:E79"/>
    <mergeCell ref="A1:J1"/>
    <mergeCell ref="A3:J3"/>
    <mergeCell ref="R6:Z6"/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9">
      <selection activeCell="I11" sqref="I11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0.8515625" style="16" customWidth="1"/>
    <col min="7" max="16384" width="9.140625" style="1" customWidth="1"/>
  </cols>
  <sheetData>
    <row r="1" spans="1:9" s="24" customFormat="1" ht="15.75">
      <c r="A1" s="763" t="s">
        <v>551</v>
      </c>
      <c r="B1" s="763"/>
      <c r="C1" s="763"/>
      <c r="D1" s="763"/>
      <c r="E1" s="763"/>
      <c r="F1" s="763"/>
      <c r="G1" s="315"/>
      <c r="H1" s="315"/>
      <c r="I1" s="315"/>
    </row>
    <row r="2" spans="1:9" ht="15">
      <c r="A2" s="24"/>
      <c r="B2" s="24"/>
      <c r="C2" s="24"/>
      <c r="D2" s="24"/>
      <c r="E2" s="24"/>
      <c r="F2" s="23"/>
      <c r="G2" s="24"/>
      <c r="H2" s="24"/>
      <c r="I2" s="24"/>
    </row>
    <row r="3" spans="1:9" ht="15">
      <c r="A3" s="761" t="s">
        <v>668</v>
      </c>
      <c r="B3" s="761"/>
      <c r="C3" s="761"/>
      <c r="D3" s="761"/>
      <c r="E3" s="761"/>
      <c r="F3" s="761"/>
      <c r="G3" s="315"/>
      <c r="H3" s="315"/>
      <c r="I3" s="315"/>
    </row>
    <row r="4" spans="1:9" ht="15">
      <c r="A4" s="24"/>
      <c r="B4" s="24"/>
      <c r="C4" s="24"/>
      <c r="D4" s="24"/>
      <c r="E4" s="24"/>
      <c r="F4" s="23"/>
      <c r="G4" s="24"/>
      <c r="H4" s="24"/>
      <c r="I4" s="24"/>
    </row>
    <row r="5" spans="1:9" ht="15">
      <c r="A5" s="24"/>
      <c r="B5" s="24"/>
      <c r="C5" s="24"/>
      <c r="D5" s="24"/>
      <c r="E5" s="24"/>
      <c r="F5" s="23"/>
      <c r="G5" s="24"/>
      <c r="H5" s="24"/>
      <c r="I5" s="24"/>
    </row>
    <row r="6" spans="1:9" ht="15">
      <c r="A6" s="24"/>
      <c r="B6" s="24"/>
      <c r="C6" s="24"/>
      <c r="D6" s="24"/>
      <c r="E6" s="24"/>
      <c r="F6" s="23"/>
      <c r="G6" s="24"/>
      <c r="H6" s="24"/>
      <c r="I6" s="24"/>
    </row>
    <row r="7" spans="1:9" ht="15">
      <c r="A7" s="24"/>
      <c r="B7" s="24"/>
      <c r="C7" s="24"/>
      <c r="D7" s="24"/>
      <c r="E7" s="24"/>
      <c r="F7" s="23"/>
      <c r="G7" s="24"/>
      <c r="H7" s="24"/>
      <c r="I7" s="24"/>
    </row>
    <row r="8" spans="1:9" ht="15">
      <c r="A8" s="24"/>
      <c r="B8" s="24"/>
      <c r="C8" s="24"/>
      <c r="D8" s="24"/>
      <c r="E8" s="24"/>
      <c r="F8" s="33" t="s">
        <v>390</v>
      </c>
      <c r="G8" s="24"/>
      <c r="H8" s="24"/>
      <c r="I8" s="24"/>
    </row>
    <row r="9" spans="1:9" ht="15">
      <c r="A9" s="34" t="s">
        <v>385</v>
      </c>
      <c r="B9" s="35"/>
      <c r="C9" s="35"/>
      <c r="D9" s="35"/>
      <c r="E9" s="35"/>
      <c r="F9" s="36">
        <f>'PR-10'!N105</f>
        <v>1648283.03</v>
      </c>
      <c r="G9" s="24"/>
      <c r="H9" s="24"/>
      <c r="I9" s="24"/>
    </row>
    <row r="10" spans="1:9" ht="15">
      <c r="A10" s="37" t="s">
        <v>372</v>
      </c>
      <c r="B10" s="32"/>
      <c r="C10" s="32"/>
      <c r="D10" s="32"/>
      <c r="E10" s="32"/>
      <c r="F10" s="38">
        <f>'VÝD-10 Tab'!H26</f>
        <v>916182</v>
      </c>
      <c r="G10" s="24"/>
      <c r="H10" s="24"/>
      <c r="I10" s="24"/>
    </row>
    <row r="11" spans="1:9" ht="15">
      <c r="A11" s="47" t="s">
        <v>373</v>
      </c>
      <c r="B11" s="48"/>
      <c r="C11" s="48"/>
      <c r="D11" s="48"/>
      <c r="E11" s="48"/>
      <c r="F11" s="49">
        <f>F9-F10</f>
        <v>732101.03</v>
      </c>
      <c r="G11" s="24"/>
      <c r="H11" s="24"/>
      <c r="I11" s="24"/>
    </row>
    <row r="12" spans="1:9" ht="15">
      <c r="A12" s="24"/>
      <c r="B12" s="24"/>
      <c r="C12" s="24"/>
      <c r="D12" s="24"/>
      <c r="E12" s="24"/>
      <c r="F12" s="23"/>
      <c r="G12" s="24"/>
      <c r="H12" s="24"/>
      <c r="I12" s="24"/>
    </row>
    <row r="13" spans="1:9" ht="15">
      <c r="A13" s="34" t="s">
        <v>374</v>
      </c>
      <c r="B13" s="35"/>
      <c r="C13" s="35"/>
      <c r="D13" s="35"/>
      <c r="E13" s="35"/>
      <c r="F13" s="36">
        <f>'PR-10'!N109</f>
        <v>1000</v>
      </c>
      <c r="G13" s="24"/>
      <c r="H13" s="24"/>
      <c r="I13" s="24"/>
    </row>
    <row r="14" spans="1:9" ht="15">
      <c r="A14" s="37" t="s">
        <v>375</v>
      </c>
      <c r="B14" s="32"/>
      <c r="C14" s="32"/>
      <c r="D14" s="32"/>
      <c r="E14" s="32"/>
      <c r="F14" s="38">
        <f>'VÝD-10 Tab'!H47</f>
        <v>107700</v>
      </c>
      <c r="G14" s="24"/>
      <c r="H14" s="24"/>
      <c r="I14" s="24"/>
    </row>
    <row r="15" spans="1:9" ht="15">
      <c r="A15" s="47" t="s">
        <v>376</v>
      </c>
      <c r="B15" s="48"/>
      <c r="C15" s="48"/>
      <c r="D15" s="48"/>
      <c r="E15" s="48"/>
      <c r="F15" s="49">
        <f>F13-F14</f>
        <v>-106700</v>
      </c>
      <c r="G15" s="24"/>
      <c r="H15" s="24"/>
      <c r="I15" s="24"/>
    </row>
    <row r="16" spans="1:9" ht="15">
      <c r="A16" s="24"/>
      <c r="B16" s="24"/>
      <c r="C16" s="24"/>
      <c r="D16" s="24"/>
      <c r="E16" s="24"/>
      <c r="F16" s="23"/>
      <c r="G16" s="24"/>
      <c r="H16" s="24"/>
      <c r="I16" s="24"/>
    </row>
    <row r="17" spans="1:9" ht="15">
      <c r="A17" s="34" t="s">
        <v>377</v>
      </c>
      <c r="B17" s="35"/>
      <c r="C17" s="35"/>
      <c r="D17" s="35"/>
      <c r="E17" s="35"/>
      <c r="F17" s="36">
        <v>0</v>
      </c>
      <c r="G17" s="24"/>
      <c r="H17" s="24"/>
      <c r="I17" s="24"/>
    </row>
    <row r="18" spans="1:9" ht="15">
      <c r="A18" s="37" t="s">
        <v>378</v>
      </c>
      <c r="B18" s="32"/>
      <c r="C18" s="32"/>
      <c r="D18" s="32"/>
      <c r="E18" s="32"/>
      <c r="F18" s="38">
        <f>'VÝD-10'!N614+'VÝD-10'!N618</f>
        <v>73917</v>
      </c>
      <c r="G18" s="24"/>
      <c r="H18" s="24"/>
      <c r="I18" s="24"/>
    </row>
    <row r="19" spans="1:9" ht="15">
      <c r="A19" s="47" t="s">
        <v>379</v>
      </c>
      <c r="B19" s="48"/>
      <c r="C19" s="48"/>
      <c r="D19" s="48"/>
      <c r="E19" s="48"/>
      <c r="F19" s="49">
        <f>F17-F18</f>
        <v>-73917</v>
      </c>
      <c r="G19" s="24"/>
      <c r="H19" s="24"/>
      <c r="I19" s="24"/>
    </row>
    <row r="20" spans="1:9" ht="15">
      <c r="A20" s="24"/>
      <c r="B20" s="24"/>
      <c r="C20" s="24"/>
      <c r="D20" s="24"/>
      <c r="E20" s="24"/>
      <c r="F20" s="23"/>
      <c r="G20" s="24"/>
      <c r="H20" s="24"/>
      <c r="I20" s="24"/>
    </row>
    <row r="21" spans="1:10" ht="15">
      <c r="A21" s="34" t="s">
        <v>380</v>
      </c>
      <c r="B21" s="35"/>
      <c r="C21" s="35"/>
      <c r="D21" s="35"/>
      <c r="E21" s="35"/>
      <c r="F21" s="36">
        <f>F9+F13</f>
        <v>1649283.03</v>
      </c>
      <c r="G21" s="24"/>
      <c r="H21" s="24"/>
      <c r="I21" s="24"/>
      <c r="J21" s="16"/>
    </row>
    <row r="22" spans="1:10" ht="15">
      <c r="A22" s="37" t="s">
        <v>381</v>
      </c>
      <c r="B22" s="32"/>
      <c r="C22" s="32"/>
      <c r="D22" s="32"/>
      <c r="E22" s="32"/>
      <c r="F22" s="38">
        <f>F10+F14</f>
        <v>1023882</v>
      </c>
      <c r="G22" s="24"/>
      <c r="H22" s="24"/>
      <c r="I22" s="24"/>
      <c r="J22" s="16"/>
    </row>
    <row r="23" spans="1:9" ht="15">
      <c r="A23" s="39" t="s">
        <v>387</v>
      </c>
      <c r="B23" s="10"/>
      <c r="C23" s="10"/>
      <c r="D23" s="10"/>
      <c r="E23" s="10"/>
      <c r="F23" s="40">
        <f>F21-F22</f>
        <v>625401.03</v>
      </c>
      <c r="G23" s="24"/>
      <c r="H23" s="24"/>
      <c r="I23" s="24"/>
    </row>
    <row r="24" spans="1:9" ht="15">
      <c r="A24" s="37" t="s">
        <v>388</v>
      </c>
      <c r="B24" s="32"/>
      <c r="C24" s="32"/>
      <c r="D24" s="32"/>
      <c r="E24" s="32"/>
      <c r="F24" s="38">
        <f>F18</f>
        <v>73917</v>
      </c>
      <c r="G24" s="24"/>
      <c r="H24" s="24"/>
      <c r="I24" s="24"/>
    </row>
    <row r="25" spans="1:9" ht="15">
      <c r="A25" s="47" t="s">
        <v>389</v>
      </c>
      <c r="B25" s="48"/>
      <c r="C25" s="48"/>
      <c r="D25" s="48"/>
      <c r="E25" s="48"/>
      <c r="F25" s="49">
        <f>F23-F24</f>
        <v>551484.03</v>
      </c>
      <c r="G25" s="24"/>
      <c r="H25" s="24"/>
      <c r="I25" s="24"/>
    </row>
    <row r="26" spans="1:9" ht="15">
      <c r="A26" s="24"/>
      <c r="B26" s="24"/>
      <c r="C26" s="24"/>
      <c r="D26" s="24"/>
      <c r="E26" s="24"/>
      <c r="F26" s="23"/>
      <c r="G26" s="24"/>
      <c r="H26" s="24"/>
      <c r="I26" s="24"/>
    </row>
    <row r="27" spans="1:9" ht="15">
      <c r="A27" s="34" t="s">
        <v>382</v>
      </c>
      <c r="B27" s="35"/>
      <c r="C27" s="35"/>
      <c r="D27" s="35"/>
      <c r="E27" s="35"/>
      <c r="F27" s="36">
        <f>F9+F13+F17</f>
        <v>1649283.03</v>
      </c>
      <c r="G27" s="24"/>
      <c r="H27" s="24"/>
      <c r="I27" s="24"/>
    </row>
    <row r="28" spans="1:10" ht="15">
      <c r="A28" s="37" t="s">
        <v>383</v>
      </c>
      <c r="B28" s="32"/>
      <c r="C28" s="32"/>
      <c r="D28" s="32"/>
      <c r="E28" s="32"/>
      <c r="F28" s="38">
        <f>F10+F14+F18</f>
        <v>1097799</v>
      </c>
      <c r="G28" s="24"/>
      <c r="H28" s="24"/>
      <c r="I28" s="23"/>
      <c r="J28" s="16"/>
    </row>
    <row r="29" spans="1:9" ht="15">
      <c r="A29" s="47" t="s">
        <v>386</v>
      </c>
      <c r="B29" s="48"/>
      <c r="C29" s="48"/>
      <c r="D29" s="48"/>
      <c r="E29" s="48"/>
      <c r="F29" s="49">
        <f>F27-F28</f>
        <v>551484.03</v>
      </c>
      <c r="G29" s="24"/>
      <c r="H29" s="24"/>
      <c r="I29" s="24"/>
    </row>
    <row r="30" spans="1:9" ht="15">
      <c r="A30" s="31"/>
      <c r="B30" s="10"/>
      <c r="C30" s="10"/>
      <c r="D30" s="10"/>
      <c r="E30" s="10"/>
      <c r="F30" s="13"/>
      <c r="G30" s="24"/>
      <c r="H30" s="24"/>
      <c r="I30" s="24"/>
    </row>
    <row r="31" spans="1:9" ht="15">
      <c r="A31" s="31"/>
      <c r="B31" s="10"/>
      <c r="C31" s="10"/>
      <c r="D31" s="10"/>
      <c r="E31" s="10"/>
      <c r="F31" s="13"/>
      <c r="G31" s="24"/>
      <c r="H31" s="24"/>
      <c r="I31" s="24"/>
    </row>
    <row r="32" spans="1:9" ht="15">
      <c r="A32" s="41" t="s">
        <v>384</v>
      </c>
      <c r="B32" s="35"/>
      <c r="C32" s="35"/>
      <c r="D32" s="35"/>
      <c r="E32" s="35"/>
      <c r="F32" s="36">
        <f>F29</f>
        <v>551484.03</v>
      </c>
      <c r="G32" s="24"/>
      <c r="H32" s="24"/>
      <c r="I32" s="24"/>
    </row>
    <row r="33" spans="1:9" ht="15">
      <c r="A33" s="42" t="s">
        <v>626</v>
      </c>
      <c r="B33" s="32"/>
      <c r="C33" s="32"/>
      <c r="D33" s="32"/>
      <c r="E33" s="32"/>
      <c r="F33" s="38">
        <f>'VÝD-10'!N631</f>
        <v>210000</v>
      </c>
      <c r="G33" s="24"/>
      <c r="H33" s="24"/>
      <c r="I33" s="24"/>
    </row>
    <row r="34" spans="1:10" ht="15">
      <c r="A34" s="42" t="s">
        <v>369</v>
      </c>
      <c r="B34" s="32"/>
      <c r="C34" s="32"/>
      <c r="D34" s="32"/>
      <c r="E34" s="32"/>
      <c r="F34" s="38">
        <f>'VÝD-10'!N630</f>
        <v>322590</v>
      </c>
      <c r="G34" s="23"/>
      <c r="H34" s="24"/>
      <c r="I34" s="24"/>
      <c r="J34" s="16"/>
    </row>
    <row r="35" spans="1:9" ht="15">
      <c r="A35" s="299" t="s">
        <v>628</v>
      </c>
      <c r="B35" s="32"/>
      <c r="C35" s="32"/>
      <c r="D35" s="32"/>
      <c r="E35" s="32"/>
      <c r="F35" s="38">
        <f>'VÝD-10'!N633</f>
        <v>16000</v>
      </c>
      <c r="G35" s="23"/>
      <c r="H35" s="24"/>
      <c r="I35" s="24"/>
    </row>
    <row r="36" spans="1:15" ht="15">
      <c r="A36" s="43" t="s">
        <v>428</v>
      </c>
      <c r="B36" s="44"/>
      <c r="C36" s="44"/>
      <c r="D36" s="44"/>
      <c r="E36" s="44"/>
      <c r="F36" s="45">
        <f>F32-F33-F34-F35</f>
        <v>2894.030000000028</v>
      </c>
      <c r="G36" s="27"/>
      <c r="H36" s="24"/>
      <c r="I36" s="24"/>
      <c r="J36" s="391"/>
      <c r="K36" s="391"/>
      <c r="L36" s="391"/>
      <c r="M36" s="391"/>
      <c r="N36" s="391"/>
      <c r="O36" s="391"/>
    </row>
    <row r="37" spans="1:9" ht="15">
      <c r="A37" s="31"/>
      <c r="B37" s="24"/>
      <c r="C37" s="24"/>
      <c r="D37" s="24"/>
      <c r="E37" s="24"/>
      <c r="F37" s="331">
        <f>F32-F33-F34-F35</f>
        <v>2894.030000000028</v>
      </c>
      <c r="G37" s="24"/>
      <c r="H37" s="24"/>
      <c r="I37" s="24"/>
    </row>
    <row r="38" s="24" customFormat="1" ht="15">
      <c r="A38" s="24" t="s">
        <v>624</v>
      </c>
    </row>
    <row r="39" s="24" customFormat="1" ht="15">
      <c r="A39" s="24" t="s">
        <v>480</v>
      </c>
    </row>
    <row r="40" ht="15">
      <c r="F40" s="1"/>
    </row>
    <row r="41" spans="1:5" s="24" customFormat="1" ht="15">
      <c r="A41" s="518" t="s">
        <v>676</v>
      </c>
      <c r="B41" s="518"/>
      <c r="C41" s="518"/>
      <c r="D41" s="518"/>
      <c r="E41" s="518"/>
    </row>
    <row r="42" spans="1:6" s="24" customFormat="1" ht="15">
      <c r="A42" s="652" t="s">
        <v>675</v>
      </c>
      <c r="B42" s="652"/>
      <c r="C42" s="652"/>
      <c r="D42" s="652"/>
      <c r="E42" s="652"/>
      <c r="F42" s="653"/>
    </row>
    <row r="43" spans="1:6" s="24" customFormat="1" ht="15">
      <c r="A43" s="652" t="s">
        <v>397</v>
      </c>
      <c r="B43" s="652"/>
      <c r="C43" s="652"/>
      <c r="D43" s="652"/>
      <c r="E43" s="652"/>
      <c r="F43" s="653"/>
    </row>
    <row r="44" spans="1:6" s="24" customFormat="1" ht="15">
      <c r="A44" s="652" t="s">
        <v>441</v>
      </c>
      <c r="B44" s="654" t="s">
        <v>672</v>
      </c>
      <c r="C44" s="652"/>
      <c r="D44" s="652"/>
      <c r="E44" s="652"/>
      <c r="F44" s="653"/>
    </row>
    <row r="45" spans="1:6" s="24" customFormat="1" ht="15">
      <c r="A45" s="652" t="s">
        <v>677</v>
      </c>
      <c r="B45" s="661">
        <v>41366</v>
      </c>
      <c r="C45" s="652"/>
      <c r="D45" s="652"/>
      <c r="E45" s="652"/>
      <c r="F45" s="653"/>
    </row>
    <row r="46" spans="1:6" ht="15">
      <c r="A46" s="61"/>
      <c r="B46" s="62"/>
      <c r="C46" s="61"/>
      <c r="D46" s="61"/>
      <c r="E46" s="61"/>
      <c r="F46" s="63"/>
    </row>
    <row r="47" spans="8:9" ht="15">
      <c r="H47" s="24"/>
      <c r="I47" s="24"/>
    </row>
    <row r="48" spans="1:9" ht="15">
      <c r="A48" s="24"/>
      <c r="B48" s="24"/>
      <c r="C48" s="24"/>
      <c r="D48" s="24"/>
      <c r="E48" s="24"/>
      <c r="F48" s="23"/>
      <c r="G48" s="24"/>
      <c r="H48" s="24"/>
      <c r="I48" s="24"/>
    </row>
    <row r="49" spans="1:9" ht="15">
      <c r="A49" s="24"/>
      <c r="B49" s="24"/>
      <c r="C49" s="24"/>
      <c r="D49" s="24"/>
      <c r="E49" s="24"/>
      <c r="F49" s="23"/>
      <c r="G49" s="24"/>
      <c r="H49" s="24"/>
      <c r="I49" s="24"/>
    </row>
    <row r="50" spans="1:9" ht="15">
      <c r="A50" s="24"/>
      <c r="B50" s="24"/>
      <c r="C50" s="24"/>
      <c r="D50" s="24"/>
      <c r="E50" s="24"/>
      <c r="F50" s="23"/>
      <c r="G50" s="24"/>
      <c r="H50" s="24"/>
      <c r="I50" s="24"/>
    </row>
    <row r="51" spans="1:9" ht="15">
      <c r="A51" s="24"/>
      <c r="B51" s="24"/>
      <c r="C51" s="24"/>
      <c r="D51" s="24"/>
      <c r="E51" s="24"/>
      <c r="F51" s="23"/>
      <c r="G51" s="24"/>
      <c r="H51" s="24"/>
      <c r="I51" s="24"/>
    </row>
    <row r="52" spans="1:9" ht="15">
      <c r="A52" s="24"/>
      <c r="B52" s="24"/>
      <c r="C52" s="24"/>
      <c r="D52" s="24"/>
      <c r="E52" s="24"/>
      <c r="F52" s="23"/>
      <c r="G52" s="24"/>
      <c r="H52" s="24"/>
      <c r="I52" s="24"/>
    </row>
    <row r="53" spans="1:9" ht="15">
      <c r="A53" s="24"/>
      <c r="B53" s="24"/>
      <c r="C53" s="24"/>
      <c r="D53" s="24"/>
      <c r="E53" s="24"/>
      <c r="F53" s="23"/>
      <c r="G53" s="24"/>
      <c r="H53" s="24"/>
      <c r="I53" s="24"/>
    </row>
    <row r="54" spans="1:9" ht="15">
      <c r="A54" s="24"/>
      <c r="B54" s="24"/>
      <c r="C54" s="24"/>
      <c r="D54" s="24"/>
      <c r="E54" s="24"/>
      <c r="F54" s="23"/>
      <c r="G54" s="24"/>
      <c r="H54" s="24"/>
      <c r="I54" s="24"/>
    </row>
    <row r="55" spans="1:9" ht="15">
      <c r="A55" s="24"/>
      <c r="B55" s="24"/>
      <c r="C55" s="24"/>
      <c r="D55" s="24"/>
      <c r="E55" s="24"/>
      <c r="F55" s="23"/>
      <c r="G55" s="24"/>
      <c r="H55" s="24"/>
      <c r="I55" s="24"/>
    </row>
    <row r="56" spans="1:9" ht="15">
      <c r="A56" s="24"/>
      <c r="B56" s="24"/>
      <c r="C56" s="24"/>
      <c r="D56" s="24"/>
      <c r="E56" s="24"/>
      <c r="F56" s="23"/>
      <c r="G56" s="24"/>
      <c r="H56" s="24"/>
      <c r="I56" s="24"/>
    </row>
    <row r="57" spans="1:9" ht="15">
      <c r="A57" s="24"/>
      <c r="B57" s="24"/>
      <c r="C57" s="24"/>
      <c r="D57" s="24"/>
      <c r="E57" s="24"/>
      <c r="F57" s="23"/>
      <c r="G57" s="24"/>
      <c r="H57" s="24"/>
      <c r="I57" s="24"/>
    </row>
    <row r="58" spans="1:9" ht="15">
      <c r="A58" s="24"/>
      <c r="B58" s="24"/>
      <c r="C58" s="24"/>
      <c r="D58" s="24"/>
      <c r="E58" s="24"/>
      <c r="F58" s="23"/>
      <c r="G58" s="24"/>
      <c r="H58" s="24"/>
      <c r="I58" s="24"/>
    </row>
    <row r="59" spans="1:9" ht="15">
      <c r="A59" s="24"/>
      <c r="B59" s="24"/>
      <c r="C59" s="24"/>
      <c r="D59" s="24"/>
      <c r="E59" s="24"/>
      <c r="F59" s="23"/>
      <c r="G59" s="24"/>
      <c r="H59" s="24"/>
      <c r="I59" s="24"/>
    </row>
    <row r="60" spans="1:9" ht="15">
      <c r="A60" s="24"/>
      <c r="B60" s="24"/>
      <c r="C60" s="24"/>
      <c r="D60" s="24"/>
      <c r="E60" s="24"/>
      <c r="F60" s="23"/>
      <c r="G60" s="24"/>
      <c r="H60" s="24"/>
      <c r="I60" s="24"/>
    </row>
    <row r="61" spans="1:9" ht="15">
      <c r="A61" s="24"/>
      <c r="B61" s="24"/>
      <c r="C61" s="24"/>
      <c r="D61" s="24"/>
      <c r="E61" s="24"/>
      <c r="F61" s="23"/>
      <c r="G61" s="24"/>
      <c r="H61" s="24"/>
      <c r="I61" s="24"/>
    </row>
    <row r="62" spans="1:9" ht="15">
      <c r="A62" s="24"/>
      <c r="B62" s="24"/>
      <c r="C62" s="24"/>
      <c r="D62" s="24"/>
      <c r="E62" s="24"/>
      <c r="F62" s="23"/>
      <c r="G62" s="24"/>
      <c r="H62" s="24"/>
      <c r="I62" s="24"/>
    </row>
    <row r="63" spans="1:9" ht="15">
      <c r="A63" s="24"/>
      <c r="B63" s="24"/>
      <c r="C63" s="24"/>
      <c r="D63" s="24"/>
      <c r="E63" s="24"/>
      <c r="F63" s="23"/>
      <c r="G63" s="24"/>
      <c r="H63" s="24"/>
      <c r="I63" s="24"/>
    </row>
    <row r="64" spans="1:9" ht="15">
      <c r="A64" s="24"/>
      <c r="B64" s="24"/>
      <c r="C64" s="24"/>
      <c r="D64" s="24"/>
      <c r="E64" s="24"/>
      <c r="F64" s="23"/>
      <c r="G64" s="24"/>
      <c r="H64" s="24"/>
      <c r="I64" s="24"/>
    </row>
    <row r="65" spans="1:9" ht="15">
      <c r="A65" s="24"/>
      <c r="B65" s="24"/>
      <c r="C65" s="24"/>
      <c r="D65" s="24"/>
      <c r="E65" s="24"/>
      <c r="F65" s="23"/>
      <c r="G65" s="24"/>
      <c r="H65" s="24"/>
      <c r="I65" s="24"/>
    </row>
    <row r="66" spans="1:9" ht="15">
      <c r="A66" s="24"/>
      <c r="B66" s="24"/>
      <c r="C66" s="24"/>
      <c r="D66" s="24"/>
      <c r="E66" s="24"/>
      <c r="F66" s="23"/>
      <c r="G66" s="24"/>
      <c r="H66" s="24"/>
      <c r="I66" s="24"/>
    </row>
    <row r="67" spans="1:9" ht="15">
      <c r="A67" s="24"/>
      <c r="B67" s="24"/>
      <c r="C67" s="24"/>
      <c r="D67" s="24"/>
      <c r="E67" s="24"/>
      <c r="F67" s="23"/>
      <c r="G67" s="24"/>
      <c r="H67" s="24"/>
      <c r="I67" s="24"/>
    </row>
    <row r="68" spans="1:9" ht="15">
      <c r="A68" s="24"/>
      <c r="B68" s="24"/>
      <c r="C68" s="24"/>
      <c r="D68" s="24"/>
      <c r="E68" s="24"/>
      <c r="F68" s="23"/>
      <c r="G68" s="24"/>
      <c r="H68" s="24"/>
      <c r="I68" s="24"/>
    </row>
    <row r="69" spans="1:9" ht="15">
      <c r="A69" s="24"/>
      <c r="B69" s="24"/>
      <c r="C69" s="24"/>
      <c r="D69" s="24"/>
      <c r="E69" s="24"/>
      <c r="F69" s="23"/>
      <c r="G69" s="24"/>
      <c r="H69" s="24"/>
      <c r="I69" s="24"/>
    </row>
    <row r="70" spans="1:9" ht="15">
      <c r="A70" s="24"/>
      <c r="B70" s="24"/>
      <c r="C70" s="24"/>
      <c r="D70" s="24"/>
      <c r="E70" s="24"/>
      <c r="F70" s="23"/>
      <c r="G70" s="24"/>
      <c r="H70" s="24"/>
      <c r="I70" s="24"/>
    </row>
    <row r="71" spans="1:9" ht="15">
      <c r="A71" s="24"/>
      <c r="B71" s="24"/>
      <c r="C71" s="24"/>
      <c r="D71" s="24"/>
      <c r="E71" s="24"/>
      <c r="F71" s="23"/>
      <c r="G71" s="24"/>
      <c r="H71" s="24"/>
      <c r="I71" s="24"/>
    </row>
    <row r="72" spans="1:9" ht="15">
      <c r="A72" s="24"/>
      <c r="B72" s="24"/>
      <c r="C72" s="24"/>
      <c r="D72" s="24"/>
      <c r="E72" s="24"/>
      <c r="F72" s="23"/>
      <c r="G72" s="24"/>
      <c r="H72" s="24"/>
      <c r="I72" s="24"/>
    </row>
    <row r="73" spans="1:9" ht="15">
      <c r="A73" s="24"/>
      <c r="B73" s="24"/>
      <c r="C73" s="24"/>
      <c r="D73" s="24"/>
      <c r="E73" s="24"/>
      <c r="F73" s="23"/>
      <c r="G73" s="24"/>
      <c r="H73" s="24"/>
      <c r="I73" s="24"/>
    </row>
    <row r="74" spans="1:9" ht="15">
      <c r="A74" s="24"/>
      <c r="B74" s="24"/>
      <c r="C74" s="24"/>
      <c r="D74" s="24"/>
      <c r="E74" s="24"/>
      <c r="F74" s="23"/>
      <c r="G74" s="24"/>
      <c r="H74" s="24"/>
      <c r="I74" s="24"/>
    </row>
    <row r="75" spans="1:9" ht="15">
      <c r="A75" s="24"/>
      <c r="B75" s="24"/>
      <c r="C75" s="24"/>
      <c r="D75" s="24"/>
      <c r="E75" s="24"/>
      <c r="F75" s="23"/>
      <c r="G75" s="24"/>
      <c r="H75" s="24"/>
      <c r="I75" s="24"/>
    </row>
    <row r="76" spans="1:9" ht="15">
      <c r="A76" s="24"/>
      <c r="B76" s="24"/>
      <c r="C76" s="24"/>
      <c r="D76" s="24"/>
      <c r="E76" s="24"/>
      <c r="F76" s="23"/>
      <c r="G76" s="24"/>
      <c r="H76" s="24"/>
      <c r="I76" s="24"/>
    </row>
    <row r="77" spans="1:9" ht="15">
      <c r="A77" s="24"/>
      <c r="B77" s="24"/>
      <c r="C77" s="24"/>
      <c r="D77" s="24"/>
      <c r="E77" s="24"/>
      <c r="F77" s="23"/>
      <c r="G77" s="24"/>
      <c r="H77" s="24"/>
      <c r="I77" s="24"/>
    </row>
    <row r="78" spans="1:9" ht="15">
      <c r="A78" s="24"/>
      <c r="B78" s="24"/>
      <c r="C78" s="24"/>
      <c r="D78" s="24"/>
      <c r="E78" s="24"/>
      <c r="F78" s="23"/>
      <c r="G78" s="24"/>
      <c r="H78" s="24"/>
      <c r="I78" s="24"/>
    </row>
    <row r="79" spans="1:9" ht="15">
      <c r="A79" s="24"/>
      <c r="B79" s="24"/>
      <c r="C79" s="24"/>
      <c r="D79" s="24"/>
      <c r="E79" s="24"/>
      <c r="F79" s="23"/>
      <c r="G79" s="24"/>
      <c r="H79" s="24"/>
      <c r="I79" s="24"/>
    </row>
    <row r="80" spans="1:9" ht="15">
      <c r="A80" s="24"/>
      <c r="B80" s="24"/>
      <c r="C80" s="24"/>
      <c r="D80" s="24"/>
      <c r="E80" s="24"/>
      <c r="F80" s="23"/>
      <c r="G80" s="24"/>
      <c r="H80" s="24"/>
      <c r="I80" s="24"/>
    </row>
    <row r="81" spans="1:9" ht="15">
      <c r="A81" s="24"/>
      <c r="B81" s="24"/>
      <c r="C81" s="24"/>
      <c r="D81" s="24"/>
      <c r="E81" s="24"/>
      <c r="F81" s="23"/>
      <c r="G81" s="24"/>
      <c r="H81" s="24"/>
      <c r="I81" s="24"/>
    </row>
    <row r="82" spans="1:9" ht="15">
      <c r="A82" s="24"/>
      <c r="B82" s="24"/>
      <c r="C82" s="24"/>
      <c r="D82" s="24"/>
      <c r="E82" s="24"/>
      <c r="F82" s="23"/>
      <c r="G82" s="24"/>
      <c r="H82" s="24"/>
      <c r="I82" s="24"/>
    </row>
    <row r="83" spans="1:9" ht="15">
      <c r="A83" s="24"/>
      <c r="B83" s="24"/>
      <c r="C83" s="24"/>
      <c r="D83" s="24"/>
      <c r="E83" s="24"/>
      <c r="F83" s="23"/>
      <c r="G83" s="24"/>
      <c r="H83" s="24"/>
      <c r="I83" s="24"/>
    </row>
    <row r="84" spans="1:9" ht="15">
      <c r="A84" s="24"/>
      <c r="B84" s="24"/>
      <c r="C84" s="24"/>
      <c r="D84" s="24"/>
      <c r="E84" s="24"/>
      <c r="F84" s="23"/>
      <c r="G84" s="24"/>
      <c r="H84" s="24"/>
      <c r="I84" s="24"/>
    </row>
    <row r="85" spans="1:9" ht="15">
      <c r="A85" s="24"/>
      <c r="B85" s="24"/>
      <c r="C85" s="24"/>
      <c r="D85" s="24"/>
      <c r="E85" s="24"/>
      <c r="F85" s="23"/>
      <c r="G85" s="24"/>
      <c r="H85" s="24"/>
      <c r="I85" s="24"/>
    </row>
    <row r="86" spans="1:9" ht="15">
      <c r="A86" s="24"/>
      <c r="B86" s="24"/>
      <c r="C86" s="24"/>
      <c r="D86" s="24"/>
      <c r="E86" s="24"/>
      <c r="F86" s="23"/>
      <c r="G86" s="24"/>
      <c r="H86" s="24"/>
      <c r="I86" s="24"/>
    </row>
    <row r="87" spans="1:9" ht="15">
      <c r="A87" s="24"/>
      <c r="B87" s="24"/>
      <c r="C87" s="24"/>
      <c r="D87" s="24"/>
      <c r="E87" s="24"/>
      <c r="F87" s="23"/>
      <c r="G87" s="24"/>
      <c r="H87" s="24"/>
      <c r="I87" s="24"/>
    </row>
    <row r="88" spans="1:9" ht="15">
      <c r="A88" s="24"/>
      <c r="B88" s="24"/>
      <c r="C88" s="24"/>
      <c r="D88" s="24"/>
      <c r="E88" s="24"/>
      <c r="F88" s="23"/>
      <c r="G88" s="24"/>
      <c r="H88" s="24"/>
      <c r="I88" s="24"/>
    </row>
    <row r="89" spans="1:9" ht="15">
      <c r="A89" s="24"/>
      <c r="B89" s="24"/>
      <c r="C89" s="24"/>
      <c r="D89" s="24"/>
      <c r="E89" s="24"/>
      <c r="F89" s="23"/>
      <c r="G89" s="24"/>
      <c r="H89" s="24"/>
      <c r="I89" s="24"/>
    </row>
    <row r="90" spans="1:9" ht="15">
      <c r="A90" s="24"/>
      <c r="B90" s="24"/>
      <c r="C90" s="24"/>
      <c r="D90" s="24"/>
      <c r="E90" s="24"/>
      <c r="F90" s="23"/>
      <c r="G90" s="24"/>
      <c r="H90" s="24"/>
      <c r="I90" s="24"/>
    </row>
    <row r="91" spans="1:9" ht="15">
      <c r="A91" s="24"/>
      <c r="B91" s="24"/>
      <c r="C91" s="24"/>
      <c r="D91" s="24"/>
      <c r="E91" s="24"/>
      <c r="F91" s="23"/>
      <c r="G91" s="24"/>
      <c r="H91" s="24"/>
      <c r="I91" s="24"/>
    </row>
    <row r="92" spans="1:9" ht="15">
      <c r="A92" s="24"/>
      <c r="B92" s="24"/>
      <c r="C92" s="24"/>
      <c r="D92" s="24"/>
      <c r="E92" s="24"/>
      <c r="F92" s="23"/>
      <c r="G92" s="24"/>
      <c r="H92" s="24"/>
      <c r="I92" s="24"/>
    </row>
    <row r="93" spans="1:9" ht="15">
      <c r="A93" s="24"/>
      <c r="B93" s="24"/>
      <c r="C93" s="24"/>
      <c r="D93" s="24"/>
      <c r="E93" s="24"/>
      <c r="F93" s="23"/>
      <c r="G93" s="24"/>
      <c r="H93" s="24"/>
      <c r="I93" s="24"/>
    </row>
    <row r="94" spans="1:9" ht="15">
      <c r="A94" s="24"/>
      <c r="B94" s="24"/>
      <c r="C94" s="24"/>
      <c r="D94" s="24"/>
      <c r="E94" s="24"/>
      <c r="F94" s="23"/>
      <c r="G94" s="24"/>
      <c r="H94" s="24"/>
      <c r="I94" s="24"/>
    </row>
    <row r="95" spans="1:9" ht="15">
      <c r="A95" s="24"/>
      <c r="B95" s="24"/>
      <c r="C95" s="24"/>
      <c r="D95" s="24"/>
      <c r="E95" s="24"/>
      <c r="F95" s="23"/>
      <c r="G95" s="24"/>
      <c r="H95" s="24"/>
      <c r="I95" s="24"/>
    </row>
    <row r="96" spans="1:9" ht="15">
      <c r="A96" s="24"/>
      <c r="B96" s="24"/>
      <c r="C96" s="24"/>
      <c r="D96" s="24"/>
      <c r="E96" s="24"/>
      <c r="F96" s="23"/>
      <c r="G96" s="24"/>
      <c r="H96" s="24"/>
      <c r="I96" s="24"/>
    </row>
    <row r="97" spans="1:9" ht="15">
      <c r="A97" s="24"/>
      <c r="B97" s="24"/>
      <c r="C97" s="24"/>
      <c r="D97" s="24"/>
      <c r="E97" s="24"/>
      <c r="F97" s="23"/>
      <c r="G97" s="24"/>
      <c r="H97" s="24"/>
      <c r="I97" s="24"/>
    </row>
    <row r="98" spans="1:9" ht="15">
      <c r="A98" s="24"/>
      <c r="B98" s="24"/>
      <c r="C98" s="24"/>
      <c r="D98" s="24"/>
      <c r="E98" s="24"/>
      <c r="F98" s="23"/>
      <c r="G98" s="24"/>
      <c r="H98" s="24"/>
      <c r="I98" s="24"/>
    </row>
    <row r="99" spans="1:9" ht="15">
      <c r="A99" s="24"/>
      <c r="B99" s="24"/>
      <c r="C99" s="24"/>
      <c r="D99" s="24"/>
      <c r="E99" s="24"/>
      <c r="F99" s="23"/>
      <c r="G99" s="24"/>
      <c r="H99" s="24"/>
      <c r="I99" s="24"/>
    </row>
    <row r="100" spans="1:9" ht="15">
      <c r="A100" s="24"/>
      <c r="B100" s="24"/>
      <c r="C100" s="24"/>
      <c r="D100" s="24"/>
      <c r="E100" s="24"/>
      <c r="F100" s="23"/>
      <c r="G100" s="24"/>
      <c r="H100" s="24"/>
      <c r="I100" s="24"/>
    </row>
    <row r="101" spans="1:9" ht="15">
      <c r="A101" s="24"/>
      <c r="B101" s="24"/>
      <c r="C101" s="24"/>
      <c r="D101" s="24"/>
      <c r="E101" s="24"/>
      <c r="F101" s="23"/>
      <c r="G101" s="24"/>
      <c r="H101" s="24"/>
      <c r="I101" s="24"/>
    </row>
    <row r="102" spans="1:9" ht="15">
      <c r="A102" s="24"/>
      <c r="B102" s="24"/>
      <c r="C102" s="24"/>
      <c r="D102" s="24"/>
      <c r="E102" s="24"/>
      <c r="F102" s="23"/>
      <c r="G102" s="24"/>
      <c r="H102" s="24"/>
      <c r="I102" s="24"/>
    </row>
    <row r="103" spans="1:9" ht="15">
      <c r="A103" s="24"/>
      <c r="B103" s="24"/>
      <c r="C103" s="24"/>
      <c r="D103" s="24"/>
      <c r="E103" s="24"/>
      <c r="F103" s="23"/>
      <c r="G103" s="24"/>
      <c r="H103" s="24"/>
      <c r="I103" s="24"/>
    </row>
    <row r="104" spans="1:9" ht="15">
      <c r="A104" s="24"/>
      <c r="B104" s="24"/>
      <c r="C104" s="24"/>
      <c r="D104" s="24"/>
      <c r="E104" s="24"/>
      <c r="F104" s="23"/>
      <c r="G104" s="24"/>
      <c r="H104" s="24"/>
      <c r="I104" s="24"/>
    </row>
    <row r="105" spans="1:9" ht="15">
      <c r="A105" s="24"/>
      <c r="B105" s="24"/>
      <c r="C105" s="24"/>
      <c r="D105" s="24"/>
      <c r="E105" s="24"/>
      <c r="F105" s="23"/>
      <c r="G105" s="24"/>
      <c r="H105" s="24"/>
      <c r="I105" s="24"/>
    </row>
    <row r="106" spans="1:9" ht="15">
      <c r="A106" s="24"/>
      <c r="B106" s="24"/>
      <c r="C106" s="24"/>
      <c r="D106" s="24"/>
      <c r="E106" s="24"/>
      <c r="F106" s="23"/>
      <c r="G106" s="24"/>
      <c r="H106" s="24"/>
      <c r="I106" s="24"/>
    </row>
    <row r="107" spans="1:9" ht="15">
      <c r="A107" s="24"/>
      <c r="B107" s="24"/>
      <c r="C107" s="24"/>
      <c r="D107" s="24"/>
      <c r="E107" s="24"/>
      <c r="F107" s="23"/>
      <c r="G107" s="24"/>
      <c r="H107" s="24"/>
      <c r="I107" s="24"/>
    </row>
    <row r="108" spans="1:9" ht="15">
      <c r="A108" s="24"/>
      <c r="B108" s="24"/>
      <c r="C108" s="24"/>
      <c r="D108" s="24"/>
      <c r="E108" s="24"/>
      <c r="F108" s="23"/>
      <c r="G108" s="24"/>
      <c r="H108" s="24"/>
      <c r="I108" s="24"/>
    </row>
    <row r="109" spans="1:9" ht="15">
      <c r="A109" s="24"/>
      <c r="B109" s="24"/>
      <c r="C109" s="24"/>
      <c r="D109" s="24"/>
      <c r="E109" s="24"/>
      <c r="F109" s="23"/>
      <c r="G109" s="24"/>
      <c r="H109" s="24"/>
      <c r="I109" s="24"/>
    </row>
    <row r="110" spans="1:9" ht="15">
      <c r="A110" s="24"/>
      <c r="B110" s="24"/>
      <c r="C110" s="24"/>
      <c r="D110" s="24"/>
      <c r="E110" s="24"/>
      <c r="F110" s="23"/>
      <c r="G110" s="24"/>
      <c r="H110" s="24"/>
      <c r="I110" s="24"/>
    </row>
    <row r="111" spans="1:9" ht="15">
      <c r="A111" s="24"/>
      <c r="B111" s="24"/>
      <c r="C111" s="24"/>
      <c r="D111" s="24"/>
      <c r="E111" s="24"/>
      <c r="F111" s="23"/>
      <c r="G111" s="24"/>
      <c r="H111" s="24"/>
      <c r="I111" s="24"/>
    </row>
    <row r="112" spans="1:9" ht="15">
      <c r="A112" s="24"/>
      <c r="B112" s="24"/>
      <c r="C112" s="24"/>
      <c r="D112" s="24"/>
      <c r="E112" s="24"/>
      <c r="F112" s="23"/>
      <c r="G112" s="24"/>
      <c r="H112" s="24"/>
      <c r="I112" s="24"/>
    </row>
    <row r="113" spans="1:9" ht="15">
      <c r="A113" s="24"/>
      <c r="B113" s="24"/>
      <c r="C113" s="24"/>
      <c r="D113" s="24"/>
      <c r="E113" s="24"/>
      <c r="F113" s="23"/>
      <c r="G113" s="24"/>
      <c r="H113" s="24"/>
      <c r="I113" s="24"/>
    </row>
    <row r="114" spans="1:9" ht="15">
      <c r="A114" s="24"/>
      <c r="B114" s="24"/>
      <c r="C114" s="24"/>
      <c r="D114" s="24"/>
      <c r="E114" s="24"/>
      <c r="F114" s="23"/>
      <c r="G114" s="24"/>
      <c r="H114" s="24"/>
      <c r="I114" s="24"/>
    </row>
    <row r="115" spans="1:9" ht="15">
      <c r="A115" s="24"/>
      <c r="B115" s="24"/>
      <c r="C115" s="24"/>
      <c r="D115" s="24"/>
      <c r="E115" s="24"/>
      <c r="F115" s="23"/>
      <c r="G115" s="24"/>
      <c r="H115" s="24"/>
      <c r="I115" s="24"/>
    </row>
    <row r="116" spans="1:9" ht="15">
      <c r="A116" s="24"/>
      <c r="B116" s="24"/>
      <c r="C116" s="24"/>
      <c r="D116" s="24"/>
      <c r="E116" s="24"/>
      <c r="F116" s="23"/>
      <c r="G116" s="24"/>
      <c r="H116" s="24"/>
      <c r="I116" s="24"/>
    </row>
    <row r="117" spans="1:9" ht="15">
      <c r="A117" s="24"/>
      <c r="B117" s="24"/>
      <c r="C117" s="24"/>
      <c r="D117" s="24"/>
      <c r="E117" s="24"/>
      <c r="F117" s="23"/>
      <c r="G117" s="24"/>
      <c r="H117" s="24"/>
      <c r="I117" s="24"/>
    </row>
    <row r="118" spans="1:9" ht="15">
      <c r="A118" s="24"/>
      <c r="B118" s="24"/>
      <c r="C118" s="24"/>
      <c r="D118" s="24"/>
      <c r="E118" s="24"/>
      <c r="F118" s="23"/>
      <c r="G118" s="24"/>
      <c r="H118" s="24"/>
      <c r="I118" s="24"/>
    </row>
    <row r="119" spans="1:9" ht="15">
      <c r="A119" s="24"/>
      <c r="B119" s="24"/>
      <c r="C119" s="24"/>
      <c r="D119" s="24"/>
      <c r="E119" s="24"/>
      <c r="F119" s="23"/>
      <c r="G119" s="24"/>
      <c r="H119" s="24"/>
      <c r="I119" s="24"/>
    </row>
    <row r="120" spans="1:9" ht="15">
      <c r="A120" s="24"/>
      <c r="B120" s="24"/>
      <c r="C120" s="24"/>
      <c r="D120" s="24"/>
      <c r="E120" s="24"/>
      <c r="F120" s="23"/>
      <c r="G120" s="24"/>
      <c r="H120" s="24"/>
      <c r="I120" s="24"/>
    </row>
    <row r="121" spans="1:9" ht="15">
      <c r="A121" s="24"/>
      <c r="B121" s="24"/>
      <c r="C121" s="24"/>
      <c r="D121" s="24"/>
      <c r="E121" s="24"/>
      <c r="F121" s="23"/>
      <c r="G121" s="24"/>
      <c r="H121" s="24"/>
      <c r="I121" s="24"/>
    </row>
    <row r="122" spans="1:9" ht="15">
      <c r="A122" s="24"/>
      <c r="B122" s="24"/>
      <c r="C122" s="24"/>
      <c r="D122" s="24"/>
      <c r="E122" s="24"/>
      <c r="F122" s="23"/>
      <c r="G122" s="24"/>
      <c r="H122" s="24"/>
      <c r="I122" s="24"/>
    </row>
    <row r="123" spans="1:9" ht="15">
      <c r="A123" s="24"/>
      <c r="B123" s="24"/>
      <c r="C123" s="24"/>
      <c r="D123" s="24"/>
      <c r="E123" s="24"/>
      <c r="F123" s="23"/>
      <c r="G123" s="24"/>
      <c r="H123" s="24"/>
      <c r="I123" s="24"/>
    </row>
    <row r="124" spans="1:9" ht="15">
      <c r="A124" s="24"/>
      <c r="B124" s="24"/>
      <c r="C124" s="24"/>
      <c r="D124" s="24"/>
      <c r="E124" s="24"/>
      <c r="F124" s="23"/>
      <c r="G124" s="24"/>
      <c r="H124" s="24"/>
      <c r="I124" s="24"/>
    </row>
    <row r="125" spans="1:9" ht="15">
      <c r="A125" s="24"/>
      <c r="B125" s="24"/>
      <c r="C125" s="24"/>
      <c r="D125" s="24"/>
      <c r="E125" s="24"/>
      <c r="F125" s="23"/>
      <c r="G125" s="24"/>
      <c r="H125" s="24"/>
      <c r="I125" s="24"/>
    </row>
    <row r="126" spans="1:9" ht="15">
      <c r="A126" s="24"/>
      <c r="B126" s="24"/>
      <c r="C126" s="24"/>
      <c r="D126" s="24"/>
      <c r="E126" s="24"/>
      <c r="F126" s="23"/>
      <c r="G126" s="24"/>
      <c r="H126" s="24"/>
      <c r="I126" s="24"/>
    </row>
    <row r="127" spans="1:9" ht="15">
      <c r="A127" s="24"/>
      <c r="B127" s="24"/>
      <c r="C127" s="24"/>
      <c r="D127" s="24"/>
      <c r="E127" s="24"/>
      <c r="F127" s="23"/>
      <c r="G127" s="24"/>
      <c r="H127" s="24"/>
      <c r="I127" s="24"/>
    </row>
    <row r="128" spans="1:9" ht="15">
      <c r="A128" s="24"/>
      <c r="B128" s="24"/>
      <c r="C128" s="24"/>
      <c r="D128" s="24"/>
      <c r="E128" s="24"/>
      <c r="F128" s="23"/>
      <c r="G128" s="24"/>
      <c r="H128" s="24"/>
      <c r="I128" s="24"/>
    </row>
    <row r="129" spans="1:9" ht="15">
      <c r="A129" s="24"/>
      <c r="B129" s="24"/>
      <c r="C129" s="24"/>
      <c r="D129" s="24"/>
      <c r="E129" s="24"/>
      <c r="F129" s="23"/>
      <c r="G129" s="24"/>
      <c r="H129" s="24"/>
      <c r="I129" s="24"/>
    </row>
    <row r="130" spans="1:9" ht="15">
      <c r="A130" s="24"/>
      <c r="B130" s="24"/>
      <c r="C130" s="24"/>
      <c r="D130" s="24"/>
      <c r="E130" s="24"/>
      <c r="F130" s="23"/>
      <c r="G130" s="24"/>
      <c r="H130" s="24"/>
      <c r="I130" s="24"/>
    </row>
    <row r="131" spans="1:9" ht="15">
      <c r="A131" s="24"/>
      <c r="B131" s="24"/>
      <c r="C131" s="24"/>
      <c r="D131" s="24"/>
      <c r="E131" s="24"/>
      <c r="F131" s="23"/>
      <c r="G131" s="24"/>
      <c r="H131" s="24"/>
      <c r="I131" s="24"/>
    </row>
    <row r="132" spans="1:9" ht="15">
      <c r="A132" s="24"/>
      <c r="B132" s="24"/>
      <c r="C132" s="24"/>
      <c r="D132" s="24"/>
      <c r="E132" s="24"/>
      <c r="F132" s="23"/>
      <c r="G132" s="24"/>
      <c r="H132" s="24"/>
      <c r="I132" s="24"/>
    </row>
    <row r="133" spans="1:9" ht="15">
      <c r="A133" s="24"/>
      <c r="B133" s="24"/>
      <c r="C133" s="24"/>
      <c r="D133" s="24"/>
      <c r="E133" s="24"/>
      <c r="F133" s="23"/>
      <c r="G133" s="24"/>
      <c r="H133" s="24"/>
      <c r="I133" s="24"/>
    </row>
    <row r="134" spans="1:9" ht="15">
      <c r="A134" s="24"/>
      <c r="B134" s="24"/>
      <c r="C134" s="24"/>
      <c r="D134" s="24"/>
      <c r="E134" s="24"/>
      <c r="F134" s="23"/>
      <c r="G134" s="24"/>
      <c r="H134" s="24"/>
      <c r="I134" s="24"/>
    </row>
    <row r="135" spans="1:9" ht="15">
      <c r="A135" s="24"/>
      <c r="B135" s="24"/>
      <c r="C135" s="24"/>
      <c r="D135" s="24"/>
      <c r="E135" s="24"/>
      <c r="F135" s="23"/>
      <c r="G135" s="24"/>
      <c r="H135" s="24"/>
      <c r="I135" s="24"/>
    </row>
    <row r="136" spans="1:9" ht="15">
      <c r="A136" s="24"/>
      <c r="B136" s="24"/>
      <c r="C136" s="24"/>
      <c r="D136" s="24"/>
      <c r="E136" s="24"/>
      <c r="F136" s="23"/>
      <c r="G136" s="24"/>
      <c r="H136" s="24"/>
      <c r="I136" s="24"/>
    </row>
    <row r="137" spans="1:9" ht="15">
      <c r="A137" s="24"/>
      <c r="B137" s="24"/>
      <c r="C137" s="24"/>
      <c r="D137" s="24"/>
      <c r="E137" s="24"/>
      <c r="F137" s="23"/>
      <c r="G137" s="24"/>
      <c r="H137" s="24"/>
      <c r="I137" s="24"/>
    </row>
    <row r="138" spans="1:9" ht="15">
      <c r="A138" s="24"/>
      <c r="B138" s="24"/>
      <c r="C138" s="24"/>
      <c r="D138" s="24"/>
      <c r="E138" s="24"/>
      <c r="F138" s="23"/>
      <c r="G138" s="24"/>
      <c r="H138" s="24"/>
      <c r="I138" s="24"/>
    </row>
    <row r="139" spans="1:9" ht="15">
      <c r="A139" s="24"/>
      <c r="B139" s="24"/>
      <c r="C139" s="24"/>
      <c r="D139" s="24"/>
      <c r="E139" s="24"/>
      <c r="F139" s="23"/>
      <c r="G139" s="24"/>
      <c r="H139" s="24"/>
      <c r="I139" s="24"/>
    </row>
    <row r="140" spans="1:9" ht="15">
      <c r="A140" s="24"/>
      <c r="B140" s="24"/>
      <c r="C140" s="24"/>
      <c r="D140" s="24"/>
      <c r="E140" s="24"/>
      <c r="F140" s="23"/>
      <c r="G140" s="24"/>
      <c r="H140" s="24"/>
      <c r="I140" s="24"/>
    </row>
    <row r="141" spans="1:9" ht="15">
      <c r="A141" s="24"/>
      <c r="B141" s="24"/>
      <c r="C141" s="24"/>
      <c r="D141" s="24"/>
      <c r="E141" s="24"/>
      <c r="F141" s="23"/>
      <c r="G141" s="24"/>
      <c r="H141" s="24"/>
      <c r="I141" s="24"/>
    </row>
    <row r="142" spans="1:9" ht="15">
      <c r="A142" s="24"/>
      <c r="B142" s="24"/>
      <c r="C142" s="24"/>
      <c r="D142" s="24"/>
      <c r="E142" s="24"/>
      <c r="F142" s="23"/>
      <c r="G142" s="24"/>
      <c r="H142" s="24"/>
      <c r="I142" s="24"/>
    </row>
    <row r="143" spans="1:9" ht="15">
      <c r="A143" s="24"/>
      <c r="B143" s="24"/>
      <c r="C143" s="24"/>
      <c r="D143" s="24"/>
      <c r="E143" s="24"/>
      <c r="F143" s="23"/>
      <c r="G143" s="24"/>
      <c r="H143" s="24"/>
      <c r="I143" s="24"/>
    </row>
    <row r="144" spans="1:9" ht="15">
      <c r="A144" s="24"/>
      <c r="B144" s="24"/>
      <c r="C144" s="24"/>
      <c r="D144" s="24"/>
      <c r="E144" s="24"/>
      <c r="F144" s="23"/>
      <c r="G144" s="24"/>
      <c r="H144" s="24"/>
      <c r="I144" s="24"/>
    </row>
    <row r="145" spans="1:9" ht="15">
      <c r="A145" s="24"/>
      <c r="B145" s="24"/>
      <c r="C145" s="24"/>
      <c r="D145" s="24"/>
      <c r="E145" s="24"/>
      <c r="F145" s="23"/>
      <c r="G145" s="24"/>
      <c r="H145" s="24"/>
      <c r="I145" s="24"/>
    </row>
    <row r="146" spans="1:9" ht="15">
      <c r="A146" s="24"/>
      <c r="B146" s="24"/>
      <c r="C146" s="24"/>
      <c r="D146" s="24"/>
      <c r="E146" s="24"/>
      <c r="F146" s="23"/>
      <c r="G146" s="24"/>
      <c r="H146" s="24"/>
      <c r="I146" s="24"/>
    </row>
    <row r="147" spans="1:9" ht="15">
      <c r="A147" s="24"/>
      <c r="B147" s="24"/>
      <c r="C147" s="24"/>
      <c r="D147" s="24"/>
      <c r="E147" s="24"/>
      <c r="F147" s="23"/>
      <c r="G147" s="24"/>
      <c r="H147" s="24"/>
      <c r="I147" s="24"/>
    </row>
    <row r="148" spans="1:9" ht="15">
      <c r="A148" s="24"/>
      <c r="B148" s="24"/>
      <c r="C148" s="24"/>
      <c r="D148" s="24"/>
      <c r="E148" s="24"/>
      <c r="F148" s="23"/>
      <c r="G148" s="24"/>
      <c r="H148" s="24"/>
      <c r="I148" s="24"/>
    </row>
    <row r="149" spans="1:9" ht="15">
      <c r="A149" s="24"/>
      <c r="B149" s="24"/>
      <c r="C149" s="24"/>
      <c r="D149" s="24"/>
      <c r="E149" s="24"/>
      <c r="F149" s="23"/>
      <c r="G149" s="24"/>
      <c r="H149" s="24"/>
      <c r="I149" s="24"/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33"/>
  <sheetViews>
    <sheetView zoomScalePageLayoutView="0" workbookViewId="0" topLeftCell="A109">
      <selection activeCell="S107" sqref="S107"/>
    </sheetView>
  </sheetViews>
  <sheetFormatPr defaultColWidth="9.140625" defaultRowHeight="15"/>
  <cols>
    <col min="1" max="1" width="2.8515625" style="24" customWidth="1"/>
    <col min="2" max="2" width="3.57421875" style="24" customWidth="1"/>
    <col min="3" max="3" width="3.00390625" style="25" customWidth="1"/>
    <col min="4" max="4" width="4.140625" style="25" customWidth="1"/>
    <col min="5" max="5" width="3.7109375" style="314" customWidth="1"/>
    <col min="6" max="6" width="4.28125" style="24" customWidth="1"/>
    <col min="7" max="7" width="5.140625" style="314" customWidth="1"/>
    <col min="8" max="8" width="2.57421875" style="24" customWidth="1"/>
    <col min="9" max="11" width="9.140625" style="24" customWidth="1"/>
    <col min="12" max="12" width="10.00390625" style="1" customWidth="1"/>
    <col min="13" max="13" width="10.421875" style="1" customWidth="1"/>
    <col min="14" max="14" width="11.8515625" style="668" bestFit="1" customWidth="1"/>
    <col min="15" max="16" width="10.57421875" style="23" bestFit="1" customWidth="1"/>
    <col min="17" max="18" width="9.57421875" style="24" bestFit="1" customWidth="1"/>
    <col min="19" max="19" width="10.421875" style="24" bestFit="1" customWidth="1"/>
    <col min="20" max="16384" width="9.140625" style="24" customWidth="1"/>
  </cols>
  <sheetData>
    <row r="1" spans="1:15" ht="15">
      <c r="A1" s="761" t="s">
        <v>399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</row>
    <row r="2" spans="1:18" ht="15.75" thickBot="1">
      <c r="A2" s="767" t="s">
        <v>532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658">
        <v>2013</v>
      </c>
      <c r="O2" s="471">
        <f>N2+1</f>
        <v>2014</v>
      </c>
      <c r="P2" s="472">
        <f>O2+1</f>
        <v>2015</v>
      </c>
      <c r="R2" s="24" t="s">
        <v>683</v>
      </c>
    </row>
    <row r="3" spans="1:16" ht="15.75" thickBot="1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456"/>
      <c r="M3" s="511"/>
      <c r="N3" s="719"/>
      <c r="O3" s="400">
        <v>0.02</v>
      </c>
      <c r="P3" s="401">
        <v>0.04</v>
      </c>
    </row>
    <row r="4" spans="1:19" ht="15">
      <c r="A4" s="99" t="s">
        <v>366</v>
      </c>
      <c r="B4" s="100"/>
      <c r="C4" s="101"/>
      <c r="D4" s="101"/>
      <c r="E4" s="102"/>
      <c r="F4" s="103"/>
      <c r="G4" s="102"/>
      <c r="H4" s="103"/>
      <c r="I4" s="103"/>
      <c r="J4" s="103"/>
      <c r="K4" s="103"/>
      <c r="L4" s="452" t="s">
        <v>500</v>
      </c>
      <c r="M4" s="452" t="s">
        <v>501</v>
      </c>
      <c r="N4" s="764" t="s">
        <v>669</v>
      </c>
      <c r="O4" s="765"/>
      <c r="P4" s="766"/>
      <c r="S4" s="26"/>
    </row>
    <row r="5" spans="1:29" ht="15">
      <c r="A5" s="95"/>
      <c r="B5" s="10"/>
      <c r="C5" s="96"/>
      <c r="D5" s="96"/>
      <c r="E5" s="97"/>
      <c r="F5" s="10"/>
      <c r="G5" s="97"/>
      <c r="H5" s="10"/>
      <c r="I5" s="10"/>
      <c r="J5" s="10"/>
      <c r="K5" s="10"/>
      <c r="L5" s="467">
        <v>2012</v>
      </c>
      <c r="M5" s="468" t="s">
        <v>502</v>
      </c>
      <c r="N5" s="720">
        <v>2013</v>
      </c>
      <c r="O5" s="104">
        <f>N5+1</f>
        <v>2014</v>
      </c>
      <c r="P5" s="105">
        <f>O5+1</f>
        <v>2015</v>
      </c>
      <c r="AA5" s="380"/>
      <c r="AB5" s="380"/>
      <c r="AC5" s="10"/>
    </row>
    <row r="6" spans="1:29" ht="15">
      <c r="A6" s="126" t="s">
        <v>401</v>
      </c>
      <c r="B6" s="127"/>
      <c r="C6" s="128"/>
      <c r="D6" s="128"/>
      <c r="E6" s="129"/>
      <c r="F6" s="127"/>
      <c r="G6" s="129"/>
      <c r="H6" s="127"/>
      <c r="I6" s="127"/>
      <c r="J6" s="127"/>
      <c r="K6" s="127"/>
      <c r="L6" s="457">
        <f>SUM(L7:L10)</f>
        <v>627988.5999999999</v>
      </c>
      <c r="M6" s="469">
        <f>SUM(M7:M10)</f>
        <v>610370.87</v>
      </c>
      <c r="N6" s="721">
        <f>SUM(N7:N10)</f>
        <v>695098</v>
      </c>
      <c r="O6" s="130">
        <f>SUM(O7:O10)</f>
        <v>708999.96</v>
      </c>
      <c r="P6" s="131">
        <f>SUM(P7:P10)</f>
        <v>722901.92</v>
      </c>
      <c r="R6" s="27"/>
      <c r="S6" s="308"/>
      <c r="AA6" s="470"/>
      <c r="AB6" s="470"/>
      <c r="AC6" s="10"/>
    </row>
    <row r="7" spans="1:29" ht="15">
      <c r="A7" s="95"/>
      <c r="B7" s="10"/>
      <c r="C7" s="96">
        <v>1</v>
      </c>
      <c r="D7" s="96">
        <v>41</v>
      </c>
      <c r="E7" s="97"/>
      <c r="F7" s="10">
        <v>111</v>
      </c>
      <c r="G7" s="97" t="s">
        <v>12</v>
      </c>
      <c r="H7" s="10"/>
      <c r="I7" s="10" t="s">
        <v>287</v>
      </c>
      <c r="J7" s="10"/>
      <c r="K7" s="10"/>
      <c r="L7" s="56">
        <v>467891.16</v>
      </c>
      <c r="M7" s="56">
        <v>467891.16</v>
      </c>
      <c r="N7" s="722">
        <v>535000</v>
      </c>
      <c r="O7" s="98">
        <f>N7+N7*O3</f>
        <v>545700</v>
      </c>
      <c r="P7" s="17">
        <f>N7+N7*P3</f>
        <v>556400</v>
      </c>
      <c r="R7" s="1"/>
      <c r="AA7" s="470"/>
      <c r="AB7" s="470"/>
      <c r="AC7" s="10"/>
    </row>
    <row r="8" spans="1:29" ht="15">
      <c r="A8" s="112"/>
      <c r="B8" s="9"/>
      <c r="C8" s="55">
        <v>1</v>
      </c>
      <c r="D8" s="55">
        <v>41</v>
      </c>
      <c r="E8" s="113"/>
      <c r="F8" s="9">
        <v>121</v>
      </c>
      <c r="G8" s="113" t="s">
        <v>10</v>
      </c>
      <c r="H8" s="9"/>
      <c r="I8" s="9" t="s">
        <v>288</v>
      </c>
      <c r="J8" s="9"/>
      <c r="K8" s="9"/>
      <c r="L8" s="46">
        <v>99081.14</v>
      </c>
      <c r="M8" s="46">
        <v>82265.35</v>
      </c>
      <c r="N8" s="723">
        <v>99081</v>
      </c>
      <c r="O8" s="114">
        <f>N8+N8*O3</f>
        <v>101062.62</v>
      </c>
      <c r="P8" s="18">
        <f>N8+N8*P3</f>
        <v>103044.24</v>
      </c>
      <c r="AA8" s="470"/>
      <c r="AB8" s="470"/>
      <c r="AC8" s="10"/>
    </row>
    <row r="9" spans="1:29" ht="15">
      <c r="A9" s="95"/>
      <c r="B9" s="10"/>
      <c r="C9" s="96">
        <v>1</v>
      </c>
      <c r="D9" s="96">
        <v>41</v>
      </c>
      <c r="E9" s="97"/>
      <c r="F9" s="10">
        <v>121</v>
      </c>
      <c r="G9" s="97" t="s">
        <v>11</v>
      </c>
      <c r="H9" s="10"/>
      <c r="I9" s="10" t="s">
        <v>289</v>
      </c>
      <c r="J9" s="10"/>
      <c r="K9" s="10"/>
      <c r="L9" s="56">
        <v>60269.1</v>
      </c>
      <c r="M9" s="56">
        <v>59580.03</v>
      </c>
      <c r="N9" s="722">
        <v>60270</v>
      </c>
      <c r="O9" s="98">
        <f>N9+N9*O3</f>
        <v>61475.4</v>
      </c>
      <c r="P9" s="17">
        <f>N9+N9*P3</f>
        <v>62680.8</v>
      </c>
      <c r="AA9" s="380"/>
      <c r="AB9" s="380"/>
      <c r="AC9" s="10"/>
    </row>
    <row r="10" spans="1:29" ht="15">
      <c r="A10" s="112"/>
      <c r="B10" s="9"/>
      <c r="C10" s="55">
        <v>1</v>
      </c>
      <c r="D10" s="55">
        <v>41</v>
      </c>
      <c r="E10" s="113"/>
      <c r="F10" s="9">
        <v>121</v>
      </c>
      <c r="G10" s="113" t="s">
        <v>12</v>
      </c>
      <c r="H10" s="9"/>
      <c r="I10" s="9" t="s">
        <v>290</v>
      </c>
      <c r="J10" s="9"/>
      <c r="K10" s="9"/>
      <c r="L10" s="46">
        <v>747.2</v>
      </c>
      <c r="M10" s="46">
        <v>634.33</v>
      </c>
      <c r="N10" s="723">
        <v>747</v>
      </c>
      <c r="O10" s="114">
        <f>N10+N10*O3</f>
        <v>761.94</v>
      </c>
      <c r="P10" s="18">
        <f>N10+N10*P3</f>
        <v>776.88</v>
      </c>
      <c r="AA10" s="10"/>
      <c r="AB10" s="10"/>
      <c r="AC10" s="10"/>
    </row>
    <row r="11" spans="1:29" ht="15">
      <c r="A11" s="95"/>
      <c r="B11" s="10"/>
      <c r="C11" s="96"/>
      <c r="D11" s="96"/>
      <c r="E11" s="97"/>
      <c r="F11" s="10"/>
      <c r="G11" s="97"/>
      <c r="H11" s="10"/>
      <c r="I11" s="10"/>
      <c r="J11" s="10"/>
      <c r="K11" s="10"/>
      <c r="L11" s="56"/>
      <c r="M11" s="56"/>
      <c r="N11" s="722"/>
      <c r="O11" s="98"/>
      <c r="P11" s="17"/>
      <c r="Q11" s="27"/>
      <c r="AA11" s="10"/>
      <c r="AB11" s="10"/>
      <c r="AC11" s="10"/>
    </row>
    <row r="12" spans="1:16" ht="15">
      <c r="A12" s="126" t="s">
        <v>402</v>
      </c>
      <c r="B12" s="127"/>
      <c r="C12" s="128"/>
      <c r="D12" s="128"/>
      <c r="E12" s="129"/>
      <c r="F12" s="127"/>
      <c r="G12" s="129"/>
      <c r="H12" s="127"/>
      <c r="I12" s="127"/>
      <c r="J12" s="127"/>
      <c r="K12" s="127"/>
      <c r="L12" s="457">
        <f>SUM(L13:L18)</f>
        <v>59585.880000000005</v>
      </c>
      <c r="M12" s="457">
        <f>SUM(M13:M17)</f>
        <v>54756.05</v>
      </c>
      <c r="N12" s="721">
        <f>SUM(N13:N18)</f>
        <v>55392</v>
      </c>
      <c r="O12" s="130">
        <f>SUM(O13:O17)</f>
        <v>56499.84</v>
      </c>
      <c r="P12" s="131">
        <f>SUM(P13:P17)</f>
        <v>57607.68</v>
      </c>
    </row>
    <row r="13" spans="1:16" ht="15">
      <c r="A13" s="95"/>
      <c r="B13" s="10"/>
      <c r="C13" s="96">
        <v>1</v>
      </c>
      <c r="D13" s="96">
        <v>41</v>
      </c>
      <c r="E13" s="97"/>
      <c r="F13" s="10">
        <v>133</v>
      </c>
      <c r="G13" s="97" t="s">
        <v>10</v>
      </c>
      <c r="H13" s="10"/>
      <c r="I13" s="10" t="s">
        <v>291</v>
      </c>
      <c r="J13" s="10"/>
      <c r="K13" s="10"/>
      <c r="L13" s="56">
        <v>1337.8</v>
      </c>
      <c r="M13" s="56">
        <v>1282.8</v>
      </c>
      <c r="N13" s="722">
        <v>1338</v>
      </c>
      <c r="O13" s="98">
        <f>N13+N13*$O$3</f>
        <v>1364.76</v>
      </c>
      <c r="P13" s="17">
        <f>N13+N13*$P$3</f>
        <v>1391.52</v>
      </c>
    </row>
    <row r="14" spans="1:16" ht="15">
      <c r="A14" s="112"/>
      <c r="B14" s="9"/>
      <c r="C14" s="55">
        <v>1</v>
      </c>
      <c r="D14" s="55">
        <v>41</v>
      </c>
      <c r="E14" s="113"/>
      <c r="F14" s="9">
        <v>133</v>
      </c>
      <c r="G14" s="113" t="s">
        <v>12</v>
      </c>
      <c r="H14" s="9"/>
      <c r="I14" s="9" t="s">
        <v>405</v>
      </c>
      <c r="J14" s="9"/>
      <c r="K14" s="9"/>
      <c r="L14" s="46">
        <v>5975</v>
      </c>
      <c r="M14" s="46">
        <v>3100</v>
      </c>
      <c r="N14" s="723">
        <v>5975</v>
      </c>
      <c r="O14" s="115">
        <f>N14+N14*$O$3</f>
        <v>6094.5</v>
      </c>
      <c r="P14" s="22">
        <f>N14+N14*$P$3</f>
        <v>6214</v>
      </c>
    </row>
    <row r="15" spans="1:16" ht="15">
      <c r="A15" s="112"/>
      <c r="B15" s="9"/>
      <c r="C15" s="55">
        <v>1</v>
      </c>
      <c r="D15" s="55">
        <v>41</v>
      </c>
      <c r="E15" s="113"/>
      <c r="F15" s="9">
        <v>133</v>
      </c>
      <c r="G15" s="113" t="s">
        <v>13</v>
      </c>
      <c r="H15" s="9"/>
      <c r="I15" s="9" t="s">
        <v>292</v>
      </c>
      <c r="J15" s="9"/>
      <c r="K15" s="9"/>
      <c r="L15" s="46">
        <v>66</v>
      </c>
      <c r="M15" s="46">
        <v>66</v>
      </c>
      <c r="N15" s="723">
        <v>66</v>
      </c>
      <c r="O15" s="114">
        <f>N15+N15*$O$3</f>
        <v>67.32</v>
      </c>
      <c r="P15" s="18">
        <f>N15+N15*$P$3</f>
        <v>68.64</v>
      </c>
    </row>
    <row r="16" spans="1:16" ht="15">
      <c r="A16" s="95"/>
      <c r="B16" s="9"/>
      <c r="C16" s="55">
        <v>1</v>
      </c>
      <c r="D16" s="55">
        <v>41</v>
      </c>
      <c r="E16" s="113"/>
      <c r="F16" s="9">
        <v>133</v>
      </c>
      <c r="G16" s="113" t="s">
        <v>29</v>
      </c>
      <c r="H16" s="9"/>
      <c r="I16" s="9" t="s">
        <v>293</v>
      </c>
      <c r="J16" s="9"/>
      <c r="K16" s="9"/>
      <c r="L16" s="46">
        <v>50</v>
      </c>
      <c r="M16" s="46">
        <v>0</v>
      </c>
      <c r="N16" s="723">
        <v>13</v>
      </c>
      <c r="O16" s="114">
        <f>N16+N16*$O$3</f>
        <v>13.26</v>
      </c>
      <c r="P16" s="18">
        <f>N16+N16*$P$3</f>
        <v>13.52</v>
      </c>
    </row>
    <row r="17" spans="1:16" ht="15">
      <c r="A17" s="112"/>
      <c r="B17" s="9"/>
      <c r="C17" s="55">
        <v>1</v>
      </c>
      <c r="D17" s="55">
        <v>41</v>
      </c>
      <c r="E17" s="113"/>
      <c r="F17" s="9">
        <v>133</v>
      </c>
      <c r="G17" s="113" t="s">
        <v>172</v>
      </c>
      <c r="H17" s="9"/>
      <c r="I17" s="9" t="s">
        <v>294</v>
      </c>
      <c r="J17" s="9"/>
      <c r="K17" s="9"/>
      <c r="L17" s="46">
        <v>52157.08</v>
      </c>
      <c r="M17" s="46">
        <v>50307.25</v>
      </c>
      <c r="N17" s="723">
        <v>48000</v>
      </c>
      <c r="O17" s="114">
        <f>N17+N17*$O$3</f>
        <v>48960</v>
      </c>
      <c r="P17" s="18">
        <f>N17+N17*$P$3</f>
        <v>49920</v>
      </c>
    </row>
    <row r="18" spans="1:16" ht="15">
      <c r="A18" s="95"/>
      <c r="B18" s="10"/>
      <c r="C18" s="96">
        <v>1</v>
      </c>
      <c r="D18" s="96">
        <v>41</v>
      </c>
      <c r="E18" s="97"/>
      <c r="F18" s="10">
        <v>133</v>
      </c>
      <c r="G18" s="97" t="s">
        <v>67</v>
      </c>
      <c r="H18" s="10"/>
      <c r="I18" s="10" t="s">
        <v>295</v>
      </c>
      <c r="J18" s="10"/>
      <c r="K18" s="10"/>
      <c r="L18" s="56"/>
      <c r="M18" s="56"/>
      <c r="N18" s="722"/>
      <c r="O18" s="98"/>
      <c r="P18" s="17"/>
    </row>
    <row r="19" spans="1:16" ht="15">
      <c r="A19" s="112"/>
      <c r="B19" s="9"/>
      <c r="C19" s="55"/>
      <c r="D19" s="55"/>
      <c r="E19" s="113"/>
      <c r="F19" s="9"/>
      <c r="G19" s="113"/>
      <c r="H19" s="9"/>
      <c r="I19" s="9"/>
      <c r="J19" s="9"/>
      <c r="K19" s="9"/>
      <c r="L19" s="46"/>
      <c r="M19" s="46"/>
      <c r="N19" s="723"/>
      <c r="O19" s="402">
        <v>0.02</v>
      </c>
      <c r="P19" s="362">
        <v>0.04</v>
      </c>
    </row>
    <row r="20" spans="1:16" ht="15">
      <c r="A20" s="126" t="s">
        <v>403</v>
      </c>
      <c r="B20" s="127"/>
      <c r="C20" s="128"/>
      <c r="D20" s="128"/>
      <c r="E20" s="129"/>
      <c r="F20" s="127"/>
      <c r="G20" s="129"/>
      <c r="H20" s="127"/>
      <c r="I20" s="127"/>
      <c r="J20" s="127"/>
      <c r="K20" s="127"/>
      <c r="L20" s="457">
        <f>SUM(L21:L29)</f>
        <v>97448</v>
      </c>
      <c r="M20" s="457">
        <f>SUM(M21:M29)</f>
        <v>97295.74999999999</v>
      </c>
      <c r="N20" s="721">
        <f>SUM(N21:N29)</f>
        <v>101743</v>
      </c>
      <c r="O20" s="130">
        <f>SUM(O21:O29)</f>
        <v>103777.85999999999</v>
      </c>
      <c r="P20" s="131">
        <f>SUM(P21:P29)</f>
        <v>105812.72</v>
      </c>
    </row>
    <row r="21" spans="1:18" ht="15">
      <c r="A21" s="116"/>
      <c r="B21" s="117"/>
      <c r="C21" s="118">
        <v>1</v>
      </c>
      <c r="D21" s="118">
        <v>41</v>
      </c>
      <c r="E21" s="119"/>
      <c r="F21" s="117">
        <v>212</v>
      </c>
      <c r="G21" s="119" t="s">
        <v>11</v>
      </c>
      <c r="H21" s="117"/>
      <c r="I21" s="117" t="s">
        <v>296</v>
      </c>
      <c r="J21" s="117"/>
      <c r="K21" s="117"/>
      <c r="L21" s="86">
        <v>95</v>
      </c>
      <c r="M21" s="86">
        <v>1640.87</v>
      </c>
      <c r="N21" s="724">
        <v>970</v>
      </c>
      <c r="O21" s="115">
        <f aca="true" t="shared" si="0" ref="O21:O29">N21+N21*$O$19</f>
        <v>989.4</v>
      </c>
      <c r="P21" s="22">
        <f aca="true" t="shared" si="1" ref="P21:P29">N21+N21*$P$19</f>
        <v>1008.8</v>
      </c>
      <c r="R21" s="1"/>
    </row>
    <row r="22" spans="1:16" ht="15">
      <c r="A22" s="112"/>
      <c r="B22" s="9"/>
      <c r="C22" s="55">
        <v>1</v>
      </c>
      <c r="D22" s="55">
        <v>41</v>
      </c>
      <c r="E22" s="113"/>
      <c r="F22" s="9">
        <v>212</v>
      </c>
      <c r="G22" s="113" t="s">
        <v>12</v>
      </c>
      <c r="H22" s="9">
        <v>1</v>
      </c>
      <c r="I22" s="9" t="s">
        <v>297</v>
      </c>
      <c r="J22" s="9"/>
      <c r="K22" s="9"/>
      <c r="L22" s="46">
        <v>13145</v>
      </c>
      <c r="M22" s="46">
        <v>12233.07</v>
      </c>
      <c r="N22" s="723">
        <v>13145</v>
      </c>
      <c r="O22" s="115">
        <f t="shared" si="0"/>
        <v>13407.9</v>
      </c>
      <c r="P22" s="22">
        <f t="shared" si="1"/>
        <v>13670.8</v>
      </c>
    </row>
    <row r="23" spans="1:16" ht="15">
      <c r="A23" s="112"/>
      <c r="B23" s="9"/>
      <c r="C23" s="55">
        <v>1</v>
      </c>
      <c r="D23" s="55">
        <v>41</v>
      </c>
      <c r="E23" s="113"/>
      <c r="F23" s="9">
        <v>212</v>
      </c>
      <c r="G23" s="113" t="s">
        <v>12</v>
      </c>
      <c r="H23" s="9">
        <v>2</v>
      </c>
      <c r="I23" s="9" t="s">
        <v>298</v>
      </c>
      <c r="J23" s="9"/>
      <c r="K23" s="9"/>
      <c r="L23" s="46">
        <v>15780</v>
      </c>
      <c r="M23" s="46">
        <v>14958.3</v>
      </c>
      <c r="N23" s="723">
        <v>15780</v>
      </c>
      <c r="O23" s="115">
        <f t="shared" si="0"/>
        <v>16095.6</v>
      </c>
      <c r="P23" s="22">
        <f t="shared" si="1"/>
        <v>16411.2</v>
      </c>
    </row>
    <row r="24" spans="1:17" ht="15">
      <c r="A24" s="112"/>
      <c r="B24" s="9"/>
      <c r="C24" s="55">
        <v>1</v>
      </c>
      <c r="D24" s="55">
        <v>41</v>
      </c>
      <c r="E24" s="113"/>
      <c r="F24" s="9">
        <v>212</v>
      </c>
      <c r="G24" s="113" t="s">
        <v>12</v>
      </c>
      <c r="H24" s="9">
        <v>3</v>
      </c>
      <c r="I24" s="9" t="s">
        <v>299</v>
      </c>
      <c r="J24" s="9"/>
      <c r="K24" s="9"/>
      <c r="L24" s="46">
        <v>36644</v>
      </c>
      <c r="M24" s="46">
        <v>33535.07</v>
      </c>
      <c r="N24" s="723">
        <v>36644</v>
      </c>
      <c r="O24" s="115">
        <f t="shared" si="0"/>
        <v>37376.88</v>
      </c>
      <c r="P24" s="22">
        <f t="shared" si="1"/>
        <v>38109.76</v>
      </c>
      <c r="Q24" s="10"/>
    </row>
    <row r="25" spans="1:16" ht="15">
      <c r="A25" s="112"/>
      <c r="B25" s="9"/>
      <c r="C25" s="55">
        <v>1</v>
      </c>
      <c r="D25" s="55">
        <v>41</v>
      </c>
      <c r="E25" s="113"/>
      <c r="F25" s="9">
        <v>212</v>
      </c>
      <c r="G25" s="113" t="s">
        <v>12</v>
      </c>
      <c r="H25" s="9">
        <v>4</v>
      </c>
      <c r="I25" s="9" t="s">
        <v>300</v>
      </c>
      <c r="J25" s="9"/>
      <c r="K25" s="9"/>
      <c r="L25" s="46">
        <v>12681</v>
      </c>
      <c r="M25" s="46">
        <v>12609.65</v>
      </c>
      <c r="N25" s="723">
        <v>12681</v>
      </c>
      <c r="O25" s="115">
        <f t="shared" si="0"/>
        <v>12934.62</v>
      </c>
      <c r="P25" s="22">
        <f t="shared" si="1"/>
        <v>13188.24</v>
      </c>
    </row>
    <row r="26" spans="1:16" ht="15">
      <c r="A26" s="112"/>
      <c r="B26" s="9"/>
      <c r="C26" s="55">
        <v>1</v>
      </c>
      <c r="D26" s="55">
        <v>41</v>
      </c>
      <c r="E26" s="113"/>
      <c r="F26" s="9">
        <v>212</v>
      </c>
      <c r="G26" s="113" t="s">
        <v>12</v>
      </c>
      <c r="H26" s="9">
        <v>5</v>
      </c>
      <c r="I26" s="9" t="s">
        <v>301</v>
      </c>
      <c r="J26" s="9"/>
      <c r="K26" s="9"/>
      <c r="L26" s="46">
        <v>10757</v>
      </c>
      <c r="M26" s="46">
        <v>10825.23</v>
      </c>
      <c r="N26" s="723">
        <v>10757</v>
      </c>
      <c r="O26" s="115">
        <f t="shared" si="0"/>
        <v>10972.14</v>
      </c>
      <c r="P26" s="22">
        <f t="shared" si="1"/>
        <v>11187.28</v>
      </c>
    </row>
    <row r="27" spans="1:16" ht="15">
      <c r="A27" s="116"/>
      <c r="B27" s="117"/>
      <c r="C27" s="118">
        <v>1</v>
      </c>
      <c r="D27" s="118">
        <v>41</v>
      </c>
      <c r="E27" s="119"/>
      <c r="F27" s="117">
        <v>212</v>
      </c>
      <c r="G27" s="119" t="s">
        <v>12</v>
      </c>
      <c r="H27" s="117">
        <v>6</v>
      </c>
      <c r="I27" s="117" t="s">
        <v>302</v>
      </c>
      <c r="J27" s="117"/>
      <c r="K27" s="117"/>
      <c r="L27" s="86">
        <v>380</v>
      </c>
      <c r="M27" s="86">
        <v>3527</v>
      </c>
      <c r="N27" s="724">
        <v>3800</v>
      </c>
      <c r="O27" s="115">
        <f t="shared" si="0"/>
        <v>3876</v>
      </c>
      <c r="P27" s="22">
        <f t="shared" si="1"/>
        <v>3952</v>
      </c>
    </row>
    <row r="28" spans="1:16" ht="15">
      <c r="A28" s="112"/>
      <c r="B28" s="9"/>
      <c r="C28" s="55">
        <v>1</v>
      </c>
      <c r="D28" s="55">
        <v>41</v>
      </c>
      <c r="E28" s="113"/>
      <c r="F28" s="9">
        <v>212</v>
      </c>
      <c r="G28" s="113" t="s">
        <v>12</v>
      </c>
      <c r="H28" s="9">
        <v>7</v>
      </c>
      <c r="I28" s="9" t="s">
        <v>303</v>
      </c>
      <c r="J28" s="9"/>
      <c r="K28" s="9"/>
      <c r="L28" s="46"/>
      <c r="M28" s="46">
        <v>0</v>
      </c>
      <c r="N28" s="723">
        <v>0</v>
      </c>
      <c r="O28" s="115">
        <f t="shared" si="0"/>
        <v>0</v>
      </c>
      <c r="P28" s="22">
        <f t="shared" si="1"/>
        <v>0</v>
      </c>
    </row>
    <row r="29" spans="1:16" ht="15">
      <c r="A29" s="112"/>
      <c r="B29" s="9"/>
      <c r="C29" s="55">
        <v>1</v>
      </c>
      <c r="D29" s="55">
        <v>41</v>
      </c>
      <c r="E29" s="113"/>
      <c r="F29" s="9">
        <v>212</v>
      </c>
      <c r="G29" s="113" t="s">
        <v>12</v>
      </c>
      <c r="H29" s="9">
        <v>8</v>
      </c>
      <c r="I29" s="9" t="s">
        <v>609</v>
      </c>
      <c r="J29" s="9"/>
      <c r="K29" s="9"/>
      <c r="L29" s="46">
        <v>7966</v>
      </c>
      <c r="M29" s="46">
        <v>7966.56</v>
      </c>
      <c r="N29" s="723">
        <v>7966</v>
      </c>
      <c r="O29" s="115">
        <f t="shared" si="0"/>
        <v>8125.32</v>
      </c>
      <c r="P29" s="22">
        <f t="shared" si="1"/>
        <v>8284.64</v>
      </c>
    </row>
    <row r="30" spans="1:17" ht="15">
      <c r="A30" s="116"/>
      <c r="B30" s="117"/>
      <c r="C30" s="118"/>
      <c r="D30" s="118"/>
      <c r="E30" s="119"/>
      <c r="F30" s="117"/>
      <c r="G30" s="119"/>
      <c r="H30" s="117"/>
      <c r="I30" s="117"/>
      <c r="J30" s="117"/>
      <c r="K30" s="117"/>
      <c r="L30" s="86"/>
      <c r="M30" s="86"/>
      <c r="N30" s="724"/>
      <c r="O30" s="403">
        <v>0.02</v>
      </c>
      <c r="P30" s="372">
        <v>0.04</v>
      </c>
      <c r="Q30" s="178"/>
    </row>
    <row r="31" spans="1:16" ht="15">
      <c r="A31" s="309" t="s">
        <v>404</v>
      </c>
      <c r="B31" s="310"/>
      <c r="C31" s="311"/>
      <c r="D31" s="311"/>
      <c r="E31" s="312"/>
      <c r="F31" s="310"/>
      <c r="G31" s="312"/>
      <c r="H31" s="310"/>
      <c r="I31" s="310"/>
      <c r="J31" s="310"/>
      <c r="K31" s="310"/>
      <c r="L31" s="458">
        <f>SUM(L32:L72)</f>
        <v>460006.11</v>
      </c>
      <c r="M31" s="458">
        <f>SUM(M32:M72)</f>
        <v>503460.45</v>
      </c>
      <c r="N31" s="725">
        <f>SUM(N32:N72)</f>
        <v>322325.03</v>
      </c>
      <c r="O31" s="313">
        <f>SUM(O32:O72)</f>
        <v>328771.5306</v>
      </c>
      <c r="P31" s="214">
        <f>SUM(P32:P72)</f>
        <v>335218.0312</v>
      </c>
    </row>
    <row r="32" spans="1:16" ht="15">
      <c r="A32" s="112"/>
      <c r="B32" s="9"/>
      <c r="C32" s="55">
        <v>1</v>
      </c>
      <c r="D32" s="55">
        <v>41</v>
      </c>
      <c r="E32" s="113"/>
      <c r="F32" s="9">
        <v>221</v>
      </c>
      <c r="G32" s="113" t="s">
        <v>13</v>
      </c>
      <c r="H32" s="9">
        <v>1</v>
      </c>
      <c r="I32" s="9" t="s">
        <v>304</v>
      </c>
      <c r="J32" s="9"/>
      <c r="K32" s="9"/>
      <c r="L32" s="46">
        <v>1200</v>
      </c>
      <c r="M32" s="46">
        <v>1247.1</v>
      </c>
      <c r="N32" s="723">
        <v>1200</v>
      </c>
      <c r="O32" s="114">
        <f aca="true" t="shared" si="2" ref="O32:O72">N32+N32*$O$30</f>
        <v>1224</v>
      </c>
      <c r="P32" s="18">
        <f aca="true" t="shared" si="3" ref="P32:P72">N32+N32*$P$30</f>
        <v>1248</v>
      </c>
    </row>
    <row r="33" spans="1:16" ht="15">
      <c r="A33" s="112"/>
      <c r="B33" s="9"/>
      <c r="C33" s="55">
        <v>1</v>
      </c>
      <c r="D33" s="55">
        <v>41</v>
      </c>
      <c r="E33" s="113"/>
      <c r="F33" s="9">
        <v>221</v>
      </c>
      <c r="G33" s="113" t="s">
        <v>13</v>
      </c>
      <c r="H33" s="9">
        <v>2</v>
      </c>
      <c r="I33" s="9" t="s">
        <v>305</v>
      </c>
      <c r="J33" s="9"/>
      <c r="K33" s="9"/>
      <c r="L33" s="46">
        <v>250</v>
      </c>
      <c r="M33" s="46">
        <v>424.5</v>
      </c>
      <c r="N33" s="723">
        <v>250</v>
      </c>
      <c r="O33" s="114">
        <f t="shared" si="2"/>
        <v>255</v>
      </c>
      <c r="P33" s="18">
        <f t="shared" si="3"/>
        <v>260</v>
      </c>
    </row>
    <row r="34" spans="1:16" ht="15">
      <c r="A34" s="112"/>
      <c r="B34" s="9"/>
      <c r="C34" s="55">
        <v>1</v>
      </c>
      <c r="D34" s="55">
        <v>41</v>
      </c>
      <c r="E34" s="113"/>
      <c r="F34" s="9">
        <v>221</v>
      </c>
      <c r="G34" s="113" t="s">
        <v>13</v>
      </c>
      <c r="H34" s="9">
        <v>3</v>
      </c>
      <c r="I34" s="9" t="s">
        <v>306</v>
      </c>
      <c r="J34" s="9"/>
      <c r="K34" s="9"/>
      <c r="L34" s="46">
        <v>285</v>
      </c>
      <c r="M34" s="46">
        <v>444</v>
      </c>
      <c r="N34" s="723">
        <v>285</v>
      </c>
      <c r="O34" s="114">
        <f t="shared" si="2"/>
        <v>290.7</v>
      </c>
      <c r="P34" s="18">
        <f t="shared" si="3"/>
        <v>296.4</v>
      </c>
    </row>
    <row r="35" spans="1:18" ht="15">
      <c r="A35" s="95"/>
      <c r="B35" s="10"/>
      <c r="C35" s="96">
        <v>1</v>
      </c>
      <c r="D35" s="96">
        <v>41</v>
      </c>
      <c r="E35" s="97"/>
      <c r="F35" s="10">
        <v>221</v>
      </c>
      <c r="G35" s="97" t="s">
        <v>13</v>
      </c>
      <c r="H35" s="10">
        <v>4</v>
      </c>
      <c r="I35" s="10" t="s">
        <v>307</v>
      </c>
      <c r="J35" s="10"/>
      <c r="K35" s="10"/>
      <c r="L35" s="56">
        <v>2000</v>
      </c>
      <c r="M35" s="56">
        <v>2622</v>
      </c>
      <c r="N35" s="722">
        <v>2500</v>
      </c>
      <c r="O35" s="114">
        <f t="shared" si="2"/>
        <v>2550</v>
      </c>
      <c r="P35" s="18">
        <f t="shared" si="3"/>
        <v>2600</v>
      </c>
      <c r="R35" s="24" t="s">
        <v>684</v>
      </c>
    </row>
    <row r="36" spans="1:16" ht="15">
      <c r="A36" s="112"/>
      <c r="B36" s="9"/>
      <c r="C36" s="55">
        <v>1</v>
      </c>
      <c r="D36" s="55">
        <v>41</v>
      </c>
      <c r="E36" s="113"/>
      <c r="F36" s="9">
        <v>221</v>
      </c>
      <c r="G36" s="113" t="s">
        <v>13</v>
      </c>
      <c r="H36" s="9">
        <v>5</v>
      </c>
      <c r="I36" s="9" t="s">
        <v>308</v>
      </c>
      <c r="J36" s="9"/>
      <c r="K36" s="9"/>
      <c r="L36" s="46">
        <v>400</v>
      </c>
      <c r="M36" s="46">
        <v>495</v>
      </c>
      <c r="N36" s="723">
        <v>400</v>
      </c>
      <c r="O36" s="114">
        <f t="shared" si="2"/>
        <v>408</v>
      </c>
      <c r="P36" s="18">
        <f t="shared" si="3"/>
        <v>416</v>
      </c>
    </row>
    <row r="37" spans="1:16" ht="15">
      <c r="A37" s="112"/>
      <c r="B37" s="9"/>
      <c r="C37" s="55">
        <v>1</v>
      </c>
      <c r="D37" s="55">
        <v>41</v>
      </c>
      <c r="E37" s="113"/>
      <c r="F37" s="9">
        <v>221</v>
      </c>
      <c r="G37" s="113" t="s">
        <v>13</v>
      </c>
      <c r="H37" s="9">
        <v>6</v>
      </c>
      <c r="I37" s="9" t="s">
        <v>309</v>
      </c>
      <c r="J37" s="9"/>
      <c r="K37" s="9"/>
      <c r="L37" s="46">
        <v>900</v>
      </c>
      <c r="M37" s="46">
        <v>420.5</v>
      </c>
      <c r="N37" s="723">
        <v>900</v>
      </c>
      <c r="O37" s="114">
        <f t="shared" si="2"/>
        <v>918</v>
      </c>
      <c r="P37" s="18">
        <f t="shared" si="3"/>
        <v>936</v>
      </c>
    </row>
    <row r="38" spans="1:16" ht="15">
      <c r="A38" s="112"/>
      <c r="B38" s="9"/>
      <c r="C38" s="55">
        <v>1</v>
      </c>
      <c r="D38" s="55">
        <v>41</v>
      </c>
      <c r="E38" s="113"/>
      <c r="F38" s="9">
        <v>221</v>
      </c>
      <c r="G38" s="113" t="s">
        <v>13</v>
      </c>
      <c r="H38" s="9">
        <v>7</v>
      </c>
      <c r="I38" s="9" t="s">
        <v>519</v>
      </c>
      <c r="J38" s="9"/>
      <c r="K38" s="9"/>
      <c r="L38" s="46">
        <v>97.18</v>
      </c>
      <c r="M38" s="46">
        <v>120.94</v>
      </c>
      <c r="N38" s="723">
        <v>100</v>
      </c>
      <c r="O38" s="114">
        <f t="shared" si="2"/>
        <v>102</v>
      </c>
      <c r="P38" s="18">
        <f t="shared" si="3"/>
        <v>104</v>
      </c>
    </row>
    <row r="39" spans="1:16" ht="15">
      <c r="A39" s="112"/>
      <c r="B39" s="9"/>
      <c r="C39" s="55">
        <v>1</v>
      </c>
      <c r="D39" s="55">
        <v>41</v>
      </c>
      <c r="E39" s="113"/>
      <c r="F39" s="9">
        <v>221</v>
      </c>
      <c r="G39" s="113" t="s">
        <v>13</v>
      </c>
      <c r="H39" s="9">
        <v>8</v>
      </c>
      <c r="I39" s="9" t="s">
        <v>610</v>
      </c>
      <c r="J39" s="9"/>
      <c r="K39" s="9"/>
      <c r="L39" s="46">
        <v>6.5</v>
      </c>
      <c r="M39" s="46">
        <v>6.5</v>
      </c>
      <c r="N39" s="723">
        <v>0</v>
      </c>
      <c r="O39" s="114">
        <f t="shared" si="2"/>
        <v>0</v>
      </c>
      <c r="P39" s="18">
        <f t="shared" si="3"/>
        <v>0</v>
      </c>
    </row>
    <row r="40" spans="1:16" ht="15">
      <c r="A40" s="112"/>
      <c r="B40" s="9"/>
      <c r="C40" s="55">
        <v>1</v>
      </c>
      <c r="D40" s="55">
        <v>41</v>
      </c>
      <c r="E40" s="113"/>
      <c r="F40" s="9">
        <v>221</v>
      </c>
      <c r="G40" s="113" t="s">
        <v>13</v>
      </c>
      <c r="H40" s="9">
        <v>9</v>
      </c>
      <c r="I40" s="9" t="s">
        <v>520</v>
      </c>
      <c r="J40" s="9"/>
      <c r="K40" s="9"/>
      <c r="L40" s="46">
        <v>99.5</v>
      </c>
      <c r="M40" s="46">
        <v>258.67</v>
      </c>
      <c r="N40" s="723">
        <v>0</v>
      </c>
      <c r="O40" s="114">
        <f t="shared" si="2"/>
        <v>0</v>
      </c>
      <c r="P40" s="18">
        <f t="shared" si="3"/>
        <v>0</v>
      </c>
    </row>
    <row r="41" spans="1:16" ht="15">
      <c r="A41" s="116"/>
      <c r="B41" s="117"/>
      <c r="C41" s="118">
        <v>1</v>
      </c>
      <c r="D41" s="118">
        <v>41</v>
      </c>
      <c r="E41" s="119"/>
      <c r="F41" s="117">
        <v>222</v>
      </c>
      <c r="G41" s="119" t="s">
        <v>12</v>
      </c>
      <c r="H41" s="117"/>
      <c r="I41" s="117" t="s">
        <v>310</v>
      </c>
      <c r="J41" s="117"/>
      <c r="K41" s="117"/>
      <c r="L41" s="86">
        <v>500</v>
      </c>
      <c r="M41" s="86">
        <v>588</v>
      </c>
      <c r="N41" s="724">
        <v>500</v>
      </c>
      <c r="O41" s="114">
        <f t="shared" si="2"/>
        <v>510</v>
      </c>
      <c r="P41" s="18">
        <f t="shared" si="3"/>
        <v>520</v>
      </c>
    </row>
    <row r="42" spans="1:16" ht="15">
      <c r="A42" s="95"/>
      <c r="B42" s="10"/>
      <c r="C42" s="96">
        <v>1</v>
      </c>
      <c r="D42" s="96">
        <v>41</v>
      </c>
      <c r="E42" s="97"/>
      <c r="F42" s="10">
        <v>223</v>
      </c>
      <c r="G42" s="97" t="s">
        <v>10</v>
      </c>
      <c r="H42" s="10"/>
      <c r="I42" s="10" t="s">
        <v>314</v>
      </c>
      <c r="J42" s="10"/>
      <c r="K42" s="10"/>
      <c r="L42" s="56">
        <v>3000</v>
      </c>
      <c r="M42" s="56">
        <v>1824.2</v>
      </c>
      <c r="N42" s="722">
        <v>3000</v>
      </c>
      <c r="O42" s="114">
        <f t="shared" si="2"/>
        <v>3060</v>
      </c>
      <c r="P42" s="18">
        <f t="shared" si="3"/>
        <v>3120</v>
      </c>
    </row>
    <row r="43" spans="1:16" ht="15">
      <c r="A43" s="112"/>
      <c r="B43" s="9"/>
      <c r="C43" s="55">
        <v>1</v>
      </c>
      <c r="D43" s="55">
        <v>41</v>
      </c>
      <c r="E43" s="113"/>
      <c r="F43" s="9">
        <v>223</v>
      </c>
      <c r="G43" s="113" t="s">
        <v>10</v>
      </c>
      <c r="H43" s="9"/>
      <c r="I43" s="9" t="s">
        <v>315</v>
      </c>
      <c r="J43" s="9"/>
      <c r="K43" s="9"/>
      <c r="L43" s="46">
        <v>80000</v>
      </c>
      <c r="M43" s="46">
        <v>98545.89</v>
      </c>
      <c r="N43" s="723">
        <v>100000</v>
      </c>
      <c r="O43" s="114">
        <f t="shared" si="2"/>
        <v>102000</v>
      </c>
      <c r="P43" s="18">
        <f t="shared" si="3"/>
        <v>104000</v>
      </c>
    </row>
    <row r="44" spans="1:16" ht="15">
      <c r="A44" s="95"/>
      <c r="B44" s="10"/>
      <c r="C44" s="96">
        <v>1</v>
      </c>
      <c r="D44" s="96">
        <v>41</v>
      </c>
      <c r="E44" s="97"/>
      <c r="F44" s="10">
        <v>223</v>
      </c>
      <c r="G44" s="97" t="s">
        <v>10</v>
      </c>
      <c r="H44" s="10"/>
      <c r="I44" s="10" t="s">
        <v>316</v>
      </c>
      <c r="J44" s="10"/>
      <c r="K44" s="10"/>
      <c r="L44" s="56">
        <v>400</v>
      </c>
      <c r="M44" s="56">
        <v>370</v>
      </c>
      <c r="N44" s="722">
        <v>400</v>
      </c>
      <c r="O44" s="114">
        <f t="shared" si="2"/>
        <v>408</v>
      </c>
      <c r="P44" s="18">
        <f t="shared" si="3"/>
        <v>416</v>
      </c>
    </row>
    <row r="45" spans="1:16" ht="15">
      <c r="A45" s="112"/>
      <c r="B45" s="9"/>
      <c r="C45" s="55">
        <v>1</v>
      </c>
      <c r="D45" s="55">
        <v>41</v>
      </c>
      <c r="E45" s="113"/>
      <c r="F45" s="9">
        <v>223</v>
      </c>
      <c r="G45" s="113" t="s">
        <v>10</v>
      </c>
      <c r="H45" s="9"/>
      <c r="I45" s="9" t="s">
        <v>317</v>
      </c>
      <c r="J45" s="9"/>
      <c r="K45" s="9"/>
      <c r="L45" s="46">
        <v>1970</v>
      </c>
      <c r="M45" s="46">
        <v>1623.71</v>
      </c>
      <c r="N45" s="723">
        <v>1970</v>
      </c>
      <c r="O45" s="114">
        <f t="shared" si="2"/>
        <v>2009.4</v>
      </c>
      <c r="P45" s="18">
        <f t="shared" si="3"/>
        <v>2048.8</v>
      </c>
    </row>
    <row r="46" spans="1:16" ht="15">
      <c r="A46" s="95"/>
      <c r="B46" s="10"/>
      <c r="C46" s="96">
        <v>1</v>
      </c>
      <c r="D46" s="96">
        <v>41</v>
      </c>
      <c r="E46" s="97"/>
      <c r="F46" s="10">
        <v>223</v>
      </c>
      <c r="G46" s="97" t="s">
        <v>10</v>
      </c>
      <c r="H46" s="10"/>
      <c r="I46" s="10" t="s">
        <v>318</v>
      </c>
      <c r="J46" s="10"/>
      <c r="K46" s="10"/>
      <c r="L46" s="56">
        <v>140</v>
      </c>
      <c r="M46" s="56">
        <v>120</v>
      </c>
      <c r="N46" s="722">
        <v>140</v>
      </c>
      <c r="O46" s="114">
        <f t="shared" si="2"/>
        <v>142.8</v>
      </c>
      <c r="P46" s="18">
        <f t="shared" si="3"/>
        <v>145.6</v>
      </c>
    </row>
    <row r="47" spans="1:16" ht="15">
      <c r="A47" s="112"/>
      <c r="B47" s="9"/>
      <c r="C47" s="55">
        <v>1</v>
      </c>
      <c r="D47" s="55">
        <v>41</v>
      </c>
      <c r="E47" s="113"/>
      <c r="F47" s="9">
        <v>223</v>
      </c>
      <c r="G47" s="113" t="s">
        <v>10</v>
      </c>
      <c r="H47" s="9"/>
      <c r="I47" s="9" t="s">
        <v>319</v>
      </c>
      <c r="J47" s="9"/>
      <c r="K47" s="9"/>
      <c r="L47" s="46">
        <v>300</v>
      </c>
      <c r="M47" s="46">
        <v>85.5</v>
      </c>
      <c r="N47" s="723">
        <v>300</v>
      </c>
      <c r="O47" s="114">
        <f t="shared" si="2"/>
        <v>306</v>
      </c>
      <c r="P47" s="18">
        <f t="shared" si="3"/>
        <v>312</v>
      </c>
    </row>
    <row r="48" spans="1:16" ht="15">
      <c r="A48" s="95"/>
      <c r="B48" s="10"/>
      <c r="C48" s="96">
        <v>1</v>
      </c>
      <c r="D48" s="96">
        <v>41</v>
      </c>
      <c r="E48" s="97"/>
      <c r="F48" s="10">
        <v>223</v>
      </c>
      <c r="G48" s="97" t="s">
        <v>10</v>
      </c>
      <c r="H48" s="10"/>
      <c r="I48" s="10" t="s">
        <v>320</v>
      </c>
      <c r="J48" s="10"/>
      <c r="K48" s="10"/>
      <c r="L48" s="56">
        <v>30</v>
      </c>
      <c r="M48" s="56">
        <v>17</v>
      </c>
      <c r="N48" s="722">
        <v>30</v>
      </c>
      <c r="O48" s="114">
        <f t="shared" si="2"/>
        <v>30.6</v>
      </c>
      <c r="P48" s="18">
        <f t="shared" si="3"/>
        <v>31.2</v>
      </c>
    </row>
    <row r="49" spans="1:16" ht="15">
      <c r="A49" s="112"/>
      <c r="B49" s="9"/>
      <c r="C49" s="55">
        <v>1</v>
      </c>
      <c r="D49" s="55">
        <v>41</v>
      </c>
      <c r="E49" s="113"/>
      <c r="F49" s="9">
        <v>223</v>
      </c>
      <c r="G49" s="113" t="s">
        <v>10</v>
      </c>
      <c r="H49" s="9"/>
      <c r="I49" s="9" t="s">
        <v>524</v>
      </c>
      <c r="J49" s="9"/>
      <c r="K49" s="9"/>
      <c r="L49" s="46">
        <v>5632.02</v>
      </c>
      <c r="M49" s="46">
        <v>3970.23</v>
      </c>
      <c r="N49" s="723">
        <v>5652</v>
      </c>
      <c r="O49" s="114">
        <f t="shared" si="2"/>
        <v>5765.04</v>
      </c>
      <c r="P49" s="18">
        <f t="shared" si="3"/>
        <v>5878.08</v>
      </c>
    </row>
    <row r="50" spans="1:27" ht="15">
      <c r="A50" s="95"/>
      <c r="B50" s="10"/>
      <c r="C50" s="96">
        <v>1</v>
      </c>
      <c r="D50" s="96">
        <v>41</v>
      </c>
      <c r="E50" s="97"/>
      <c r="F50" s="10">
        <v>223</v>
      </c>
      <c r="G50" s="97" t="s">
        <v>10</v>
      </c>
      <c r="H50" s="10"/>
      <c r="I50" s="124" t="s">
        <v>436</v>
      </c>
      <c r="J50" s="9"/>
      <c r="K50" s="9"/>
      <c r="L50" s="46">
        <v>5000</v>
      </c>
      <c r="M50" s="46">
        <v>5200</v>
      </c>
      <c r="N50" s="723">
        <v>5000</v>
      </c>
      <c r="O50" s="114">
        <f t="shared" si="2"/>
        <v>5100</v>
      </c>
      <c r="P50" s="18">
        <f t="shared" si="3"/>
        <v>5200</v>
      </c>
      <c r="T50" s="10"/>
      <c r="U50" s="10"/>
      <c r="V50" s="10"/>
      <c r="W50" s="56"/>
      <c r="X50" s="56"/>
      <c r="Y50" s="463"/>
      <c r="Z50" s="114"/>
      <c r="AA50" s="18"/>
    </row>
    <row r="51" spans="1:27" ht="15">
      <c r="A51" s="120"/>
      <c r="B51" s="121"/>
      <c r="C51" s="122">
        <v>1</v>
      </c>
      <c r="D51" s="122">
        <v>41</v>
      </c>
      <c r="E51" s="123"/>
      <c r="F51" s="121">
        <v>223</v>
      </c>
      <c r="G51" s="123" t="s">
        <v>10</v>
      </c>
      <c r="H51" s="121"/>
      <c r="I51" s="121" t="s">
        <v>525</v>
      </c>
      <c r="J51" s="121"/>
      <c r="K51" s="121"/>
      <c r="L51" s="446">
        <v>0</v>
      </c>
      <c r="M51" s="446">
        <v>2</v>
      </c>
      <c r="N51" s="726">
        <v>2</v>
      </c>
      <c r="O51" s="114">
        <f t="shared" si="2"/>
        <v>2.04</v>
      </c>
      <c r="P51" s="18">
        <f t="shared" si="3"/>
        <v>2.08</v>
      </c>
      <c r="T51" s="121"/>
      <c r="U51" s="121"/>
      <c r="V51" s="121"/>
      <c r="W51" s="446"/>
      <c r="X51" s="446"/>
      <c r="Y51" s="466"/>
      <c r="Z51" s="114"/>
      <c r="AA51" s="18"/>
    </row>
    <row r="52" spans="1:27" ht="15">
      <c r="A52" s="116"/>
      <c r="B52" s="117"/>
      <c r="C52" s="118">
        <v>1</v>
      </c>
      <c r="D52" s="118">
        <v>41</v>
      </c>
      <c r="E52" s="119"/>
      <c r="F52" s="117">
        <v>223</v>
      </c>
      <c r="G52" s="119" t="s">
        <v>10</v>
      </c>
      <c r="H52" s="117"/>
      <c r="I52" s="10" t="s">
        <v>321</v>
      </c>
      <c r="J52" s="10"/>
      <c r="K52" s="10"/>
      <c r="L52" s="86">
        <v>80</v>
      </c>
      <c r="M52" s="86">
        <v>59.35</v>
      </c>
      <c r="N52" s="724">
        <v>80</v>
      </c>
      <c r="O52" s="114">
        <f t="shared" si="2"/>
        <v>81.6</v>
      </c>
      <c r="P52" s="18">
        <f t="shared" si="3"/>
        <v>83.2</v>
      </c>
      <c r="T52" s="117"/>
      <c r="U52" s="117"/>
      <c r="V52" s="117"/>
      <c r="W52" s="86"/>
      <c r="X52" s="86"/>
      <c r="Y52" s="465"/>
      <c r="Z52" s="114"/>
      <c r="AA52" s="18"/>
    </row>
    <row r="53" spans="1:27" ht="15">
      <c r="A53" s="112"/>
      <c r="B53" s="9"/>
      <c r="C53" s="55">
        <v>1</v>
      </c>
      <c r="D53" s="55">
        <v>41</v>
      </c>
      <c r="E53" s="113"/>
      <c r="F53" s="9">
        <v>223</v>
      </c>
      <c r="G53" s="113" t="s">
        <v>10</v>
      </c>
      <c r="H53" s="9"/>
      <c r="I53" s="121" t="s">
        <v>322</v>
      </c>
      <c r="J53" s="121"/>
      <c r="K53" s="121"/>
      <c r="L53" s="46">
        <v>1481.16</v>
      </c>
      <c r="M53" s="46">
        <v>1811.16</v>
      </c>
      <c r="N53" s="723">
        <v>1000</v>
      </c>
      <c r="O53" s="114">
        <f t="shared" si="2"/>
        <v>1020</v>
      </c>
      <c r="P53" s="18">
        <f t="shared" si="3"/>
        <v>1040</v>
      </c>
      <c r="T53" s="9"/>
      <c r="U53" s="9"/>
      <c r="V53" s="9"/>
      <c r="W53" s="46"/>
      <c r="X53" s="46"/>
      <c r="Y53" s="464"/>
      <c r="Z53" s="114"/>
      <c r="AA53" s="18"/>
    </row>
    <row r="54" spans="1:27" ht="15">
      <c r="A54" s="112"/>
      <c r="B54" s="9"/>
      <c r="C54" s="55">
        <v>1</v>
      </c>
      <c r="D54" s="55">
        <v>41</v>
      </c>
      <c r="E54" s="113"/>
      <c r="F54" s="9">
        <v>223</v>
      </c>
      <c r="G54" s="113" t="s">
        <v>10</v>
      </c>
      <c r="H54" s="9"/>
      <c r="I54" s="117" t="s">
        <v>363</v>
      </c>
      <c r="J54" s="117"/>
      <c r="K54" s="9"/>
      <c r="L54" s="46">
        <v>73</v>
      </c>
      <c r="M54" s="46">
        <v>45.5</v>
      </c>
      <c r="N54" s="723">
        <v>75</v>
      </c>
      <c r="O54" s="114">
        <f t="shared" si="2"/>
        <v>76.5</v>
      </c>
      <c r="P54" s="18">
        <f t="shared" si="3"/>
        <v>78</v>
      </c>
      <c r="Q54" s="117"/>
      <c r="T54" s="9"/>
      <c r="U54" s="9"/>
      <c r="V54" s="9"/>
      <c r="W54" s="46"/>
      <c r="X54" s="46"/>
      <c r="Y54" s="464"/>
      <c r="Z54" s="114"/>
      <c r="AA54" s="18"/>
    </row>
    <row r="55" spans="1:27" ht="15">
      <c r="A55" s="112"/>
      <c r="B55" s="9"/>
      <c r="C55" s="55">
        <v>1</v>
      </c>
      <c r="D55" s="55">
        <v>41</v>
      </c>
      <c r="E55" s="113"/>
      <c r="F55" s="9">
        <v>223</v>
      </c>
      <c r="G55" s="113" t="s">
        <v>10</v>
      </c>
      <c r="H55" s="9"/>
      <c r="I55" s="9" t="s">
        <v>323</v>
      </c>
      <c r="J55" s="9"/>
      <c r="K55" s="9"/>
      <c r="L55" s="46">
        <v>50</v>
      </c>
      <c r="M55" s="46">
        <v>5.58</v>
      </c>
      <c r="N55" s="723">
        <v>25</v>
      </c>
      <c r="O55" s="114">
        <f t="shared" si="2"/>
        <v>25.5</v>
      </c>
      <c r="P55" s="18">
        <f t="shared" si="3"/>
        <v>26</v>
      </c>
      <c r="Q55" s="356"/>
      <c r="T55" s="9"/>
      <c r="U55" s="9"/>
      <c r="V55" s="9"/>
      <c r="W55" s="46"/>
      <c r="X55" s="46"/>
      <c r="Y55" s="464"/>
      <c r="Z55" s="114"/>
      <c r="AA55" s="18"/>
    </row>
    <row r="56" spans="1:27" ht="15">
      <c r="A56" s="116"/>
      <c r="B56" s="117"/>
      <c r="C56" s="118">
        <v>1</v>
      </c>
      <c r="D56" s="118">
        <v>41</v>
      </c>
      <c r="E56" s="119"/>
      <c r="F56" s="117">
        <v>223</v>
      </c>
      <c r="G56" s="119" t="s">
        <v>10</v>
      </c>
      <c r="H56" s="117"/>
      <c r="I56" s="117" t="s">
        <v>526</v>
      </c>
      <c r="J56" s="117"/>
      <c r="K56" s="117"/>
      <c r="L56" s="86">
        <v>400</v>
      </c>
      <c r="M56" s="86">
        <v>133.71</v>
      </c>
      <c r="N56" s="724">
        <v>400</v>
      </c>
      <c r="O56" s="115">
        <f t="shared" si="2"/>
        <v>408</v>
      </c>
      <c r="P56" s="22">
        <f t="shared" si="3"/>
        <v>416</v>
      </c>
      <c r="T56" s="117"/>
      <c r="U56" s="117"/>
      <c r="V56" s="117"/>
      <c r="W56" s="86"/>
      <c r="X56" s="86"/>
      <c r="Y56" s="465"/>
      <c r="Z56" s="115"/>
      <c r="AA56" s="22"/>
    </row>
    <row r="57" spans="1:27" ht="15">
      <c r="A57" s="95"/>
      <c r="B57" s="10"/>
      <c r="C57" s="96">
        <v>1</v>
      </c>
      <c r="D57" s="96">
        <v>41</v>
      </c>
      <c r="E57" s="97"/>
      <c r="F57" s="10">
        <v>223</v>
      </c>
      <c r="G57" s="97" t="s">
        <v>10</v>
      </c>
      <c r="H57" s="10"/>
      <c r="I57" s="9" t="s">
        <v>324</v>
      </c>
      <c r="J57" s="9"/>
      <c r="K57" s="9"/>
      <c r="L57" s="56">
        <v>25</v>
      </c>
      <c r="M57" s="56">
        <v>50</v>
      </c>
      <c r="N57" s="722">
        <v>25</v>
      </c>
      <c r="O57" s="114">
        <f t="shared" si="2"/>
        <v>25.5</v>
      </c>
      <c r="P57" s="18">
        <f t="shared" si="3"/>
        <v>26</v>
      </c>
      <c r="T57" s="10"/>
      <c r="U57" s="10"/>
      <c r="V57" s="10"/>
      <c r="W57" s="56"/>
      <c r="X57" s="56"/>
      <c r="Y57" s="463"/>
      <c r="Z57" s="114"/>
      <c r="AA57" s="18"/>
    </row>
    <row r="58" spans="1:27" ht="15">
      <c r="A58" s="112"/>
      <c r="B58" s="9"/>
      <c r="C58" s="55">
        <v>1</v>
      </c>
      <c r="D58" s="55">
        <v>41</v>
      </c>
      <c r="E58" s="113"/>
      <c r="F58" s="9">
        <v>223</v>
      </c>
      <c r="G58" s="113" t="s">
        <v>10</v>
      </c>
      <c r="H58" s="9"/>
      <c r="I58" s="117" t="s">
        <v>325</v>
      </c>
      <c r="J58" s="117"/>
      <c r="K58" s="9"/>
      <c r="L58" s="46">
        <v>2500</v>
      </c>
      <c r="M58" s="46">
        <v>3543.95</v>
      </c>
      <c r="N58" s="723">
        <v>3500</v>
      </c>
      <c r="O58" s="114">
        <f t="shared" si="2"/>
        <v>3570</v>
      </c>
      <c r="P58" s="18">
        <f t="shared" si="3"/>
        <v>3640</v>
      </c>
      <c r="T58" s="9"/>
      <c r="U58" s="9"/>
      <c r="V58" s="9"/>
      <c r="W58" s="46"/>
      <c r="X58" s="46"/>
      <c r="Y58" s="464"/>
      <c r="Z58" s="114"/>
      <c r="AA58" s="18"/>
    </row>
    <row r="59" spans="1:27" ht="15">
      <c r="A59" s="95"/>
      <c r="B59" s="10"/>
      <c r="C59" s="55">
        <v>1</v>
      </c>
      <c r="D59" s="55">
        <v>41</v>
      </c>
      <c r="E59" s="113"/>
      <c r="F59" s="9">
        <v>223</v>
      </c>
      <c r="G59" s="113" t="s">
        <v>10</v>
      </c>
      <c r="H59" s="9"/>
      <c r="I59" s="117" t="s">
        <v>527</v>
      </c>
      <c r="J59" s="117"/>
      <c r="K59" s="9"/>
      <c r="L59" s="46">
        <v>0</v>
      </c>
      <c r="M59" s="46">
        <v>24.92</v>
      </c>
      <c r="N59" s="723">
        <v>50</v>
      </c>
      <c r="O59" s="114">
        <f t="shared" si="2"/>
        <v>51</v>
      </c>
      <c r="P59" s="18">
        <f t="shared" si="3"/>
        <v>52</v>
      </c>
      <c r="T59" s="10"/>
      <c r="U59" s="10"/>
      <c r="V59" s="10"/>
      <c r="W59" s="56"/>
      <c r="X59" s="56"/>
      <c r="Y59" s="463"/>
      <c r="Z59" s="114"/>
      <c r="AA59" s="18"/>
    </row>
    <row r="60" spans="1:27" ht="15">
      <c r="A60" s="95"/>
      <c r="B60" s="10"/>
      <c r="C60" s="96">
        <v>1</v>
      </c>
      <c r="D60" s="96">
        <v>41</v>
      </c>
      <c r="E60" s="97"/>
      <c r="F60" s="10">
        <v>223</v>
      </c>
      <c r="G60" s="97" t="s">
        <v>10</v>
      </c>
      <c r="H60" s="10"/>
      <c r="I60" s="9" t="s">
        <v>528</v>
      </c>
      <c r="J60" s="9"/>
      <c r="K60" s="9"/>
      <c r="L60" s="56">
        <v>13500</v>
      </c>
      <c r="M60" s="56">
        <v>8951.66</v>
      </c>
      <c r="N60" s="722">
        <v>10000</v>
      </c>
      <c r="O60" s="114">
        <f t="shared" si="2"/>
        <v>10200</v>
      </c>
      <c r="P60" s="18">
        <f t="shared" si="3"/>
        <v>10400</v>
      </c>
      <c r="T60" s="10"/>
      <c r="U60" s="10"/>
      <c r="V60" s="10"/>
      <c r="W60" s="56"/>
      <c r="X60" s="56"/>
      <c r="Y60" s="463"/>
      <c r="Z60" s="114"/>
      <c r="AA60" s="18"/>
    </row>
    <row r="61" spans="1:27" ht="15">
      <c r="A61" s="95"/>
      <c r="B61" s="10"/>
      <c r="C61" s="96">
        <v>1</v>
      </c>
      <c r="D61" s="96">
        <v>41</v>
      </c>
      <c r="E61" s="97"/>
      <c r="F61" s="10">
        <v>223</v>
      </c>
      <c r="G61" s="97" t="s">
        <v>10</v>
      </c>
      <c r="H61" s="10"/>
      <c r="I61" s="9" t="s">
        <v>529</v>
      </c>
      <c r="J61" s="9"/>
      <c r="K61" s="9"/>
      <c r="L61" s="56">
        <v>700</v>
      </c>
      <c r="M61" s="56">
        <v>710.44</v>
      </c>
      <c r="N61" s="722">
        <v>700</v>
      </c>
      <c r="O61" s="114">
        <f t="shared" si="2"/>
        <v>714</v>
      </c>
      <c r="P61" s="18">
        <f t="shared" si="3"/>
        <v>728</v>
      </c>
      <c r="T61" s="10"/>
      <c r="U61" s="10"/>
      <c r="V61" s="10"/>
      <c r="W61" s="56"/>
      <c r="X61" s="56"/>
      <c r="Y61" s="463"/>
      <c r="Z61" s="114"/>
      <c r="AA61" s="18"/>
    </row>
    <row r="62" spans="1:27" ht="15">
      <c r="A62" s="112"/>
      <c r="B62" s="9"/>
      <c r="C62" s="55">
        <v>1</v>
      </c>
      <c r="D62" s="55">
        <v>41</v>
      </c>
      <c r="E62" s="113"/>
      <c r="F62" s="9">
        <v>223</v>
      </c>
      <c r="G62" s="113" t="s">
        <v>10</v>
      </c>
      <c r="H62" s="9"/>
      <c r="I62" s="9" t="s">
        <v>326</v>
      </c>
      <c r="J62" s="9"/>
      <c r="K62" s="9"/>
      <c r="L62" s="46">
        <v>11000</v>
      </c>
      <c r="M62" s="46">
        <v>12285.44</v>
      </c>
      <c r="N62" s="723">
        <v>11000</v>
      </c>
      <c r="O62" s="114">
        <f t="shared" si="2"/>
        <v>11220</v>
      </c>
      <c r="P62" s="18">
        <f t="shared" si="3"/>
        <v>11440</v>
      </c>
      <c r="T62" s="9"/>
      <c r="U62" s="9"/>
      <c r="V62" s="9"/>
      <c r="W62" s="46"/>
      <c r="X62" s="46"/>
      <c r="Y62" s="464"/>
      <c r="Z62" s="114"/>
      <c r="AA62" s="18"/>
    </row>
    <row r="63" spans="1:27" ht="15">
      <c r="A63" s="112"/>
      <c r="B63" s="9"/>
      <c r="C63" s="55">
        <v>1</v>
      </c>
      <c r="D63" s="55">
        <v>41</v>
      </c>
      <c r="E63" s="113"/>
      <c r="F63" s="9">
        <v>223</v>
      </c>
      <c r="G63" s="113" t="s">
        <v>10</v>
      </c>
      <c r="H63" s="9"/>
      <c r="I63" s="9" t="s">
        <v>618</v>
      </c>
      <c r="J63" s="9"/>
      <c r="K63" s="9"/>
      <c r="L63" s="46">
        <v>0</v>
      </c>
      <c r="M63" s="46">
        <v>348</v>
      </c>
      <c r="N63" s="723">
        <v>348</v>
      </c>
      <c r="O63" s="114">
        <f t="shared" si="2"/>
        <v>354.96</v>
      </c>
      <c r="P63" s="18">
        <f t="shared" si="3"/>
        <v>361.92</v>
      </c>
      <c r="T63" s="10"/>
      <c r="U63" s="10"/>
      <c r="V63" s="10"/>
      <c r="W63" s="56"/>
      <c r="X63" s="56"/>
      <c r="Y63" s="463"/>
      <c r="Z63" s="114"/>
      <c r="AA63" s="18"/>
    </row>
    <row r="64" spans="1:27" ht="15">
      <c r="A64" s="95"/>
      <c r="B64" s="10"/>
      <c r="C64" s="96">
        <v>1</v>
      </c>
      <c r="D64" s="96">
        <v>41</v>
      </c>
      <c r="E64" s="97"/>
      <c r="F64" s="10">
        <v>223</v>
      </c>
      <c r="G64" s="97" t="s">
        <v>10</v>
      </c>
      <c r="H64" s="10"/>
      <c r="I64" s="10" t="s">
        <v>327</v>
      </c>
      <c r="J64" s="10"/>
      <c r="K64" s="10"/>
      <c r="L64" s="56">
        <v>250</v>
      </c>
      <c r="M64" s="56">
        <v>640</v>
      </c>
      <c r="N64" s="722">
        <v>250</v>
      </c>
      <c r="O64" s="114">
        <f t="shared" si="2"/>
        <v>255</v>
      </c>
      <c r="P64" s="18">
        <f t="shared" si="3"/>
        <v>260</v>
      </c>
      <c r="T64" s="10"/>
      <c r="U64" s="10"/>
      <c r="V64" s="10"/>
      <c r="W64" s="56"/>
      <c r="X64" s="56"/>
      <c r="Y64" s="463"/>
      <c r="Z64" s="114"/>
      <c r="AA64" s="18"/>
    </row>
    <row r="65" spans="1:27" ht="15">
      <c r="A65" s="112"/>
      <c r="B65" s="9"/>
      <c r="C65" s="55">
        <v>1</v>
      </c>
      <c r="D65" s="55">
        <v>41</v>
      </c>
      <c r="E65" s="113"/>
      <c r="F65" s="9">
        <v>223</v>
      </c>
      <c r="G65" s="113" t="s">
        <v>10</v>
      </c>
      <c r="H65" s="9"/>
      <c r="I65" s="9" t="s">
        <v>530</v>
      </c>
      <c r="J65" s="9"/>
      <c r="K65" s="9"/>
      <c r="L65" s="46">
        <v>0</v>
      </c>
      <c r="M65" s="46">
        <v>746.91</v>
      </c>
      <c r="N65" s="723">
        <v>750</v>
      </c>
      <c r="O65" s="114">
        <f t="shared" si="2"/>
        <v>765</v>
      </c>
      <c r="P65" s="18">
        <f t="shared" si="3"/>
        <v>780</v>
      </c>
      <c r="T65" s="10"/>
      <c r="U65" s="10"/>
      <c r="V65" s="10"/>
      <c r="W65" s="56"/>
      <c r="X65" s="56"/>
      <c r="Y65" s="463"/>
      <c r="Z65" s="114"/>
      <c r="AA65" s="18"/>
    </row>
    <row r="66" spans="1:27" ht="15">
      <c r="A66" s="112"/>
      <c r="B66" s="9"/>
      <c r="C66" s="55">
        <v>1</v>
      </c>
      <c r="D66" s="55">
        <v>41</v>
      </c>
      <c r="E66" s="113"/>
      <c r="F66" s="9">
        <v>223</v>
      </c>
      <c r="G66" s="113" t="s">
        <v>10</v>
      </c>
      <c r="H66" s="9"/>
      <c r="I66" s="9" t="s">
        <v>328</v>
      </c>
      <c r="J66" s="9"/>
      <c r="K66" s="9"/>
      <c r="L66" s="46">
        <v>1376</v>
      </c>
      <c r="M66" s="46">
        <v>1376</v>
      </c>
      <c r="N66" s="723">
        <v>1300</v>
      </c>
      <c r="O66" s="114">
        <f t="shared" si="2"/>
        <v>1326</v>
      </c>
      <c r="P66" s="18">
        <f t="shared" si="3"/>
        <v>1352</v>
      </c>
      <c r="T66" s="9"/>
      <c r="U66" s="9"/>
      <c r="V66" s="9"/>
      <c r="W66" s="46"/>
      <c r="X66" s="46"/>
      <c r="Y66" s="464"/>
      <c r="Z66" s="114"/>
      <c r="AA66" s="18"/>
    </row>
    <row r="67" spans="1:27" ht="15">
      <c r="A67" s="95"/>
      <c r="B67" s="10"/>
      <c r="C67" s="96">
        <v>1</v>
      </c>
      <c r="D67" s="96">
        <v>41</v>
      </c>
      <c r="E67" s="97"/>
      <c r="F67" s="10">
        <v>223</v>
      </c>
      <c r="G67" s="97" t="s">
        <v>10</v>
      </c>
      <c r="H67" s="10"/>
      <c r="I67" s="10" t="s">
        <v>531</v>
      </c>
      <c r="J67" s="10"/>
      <c r="K67" s="10"/>
      <c r="L67" s="56">
        <v>0</v>
      </c>
      <c r="M67" s="56">
        <v>10</v>
      </c>
      <c r="N67" s="722">
        <v>0</v>
      </c>
      <c r="O67" s="114">
        <f t="shared" si="2"/>
        <v>0</v>
      </c>
      <c r="P67" s="18">
        <f t="shared" si="3"/>
        <v>0</v>
      </c>
      <c r="T67" s="9"/>
      <c r="U67" s="9"/>
      <c r="V67" s="9"/>
      <c r="W67" s="46"/>
      <c r="X67" s="46"/>
      <c r="Y67" s="464"/>
      <c r="Z67" s="114"/>
      <c r="AA67" s="11"/>
    </row>
    <row r="68" spans="1:27" ht="15">
      <c r="A68" s="112"/>
      <c r="B68" s="9"/>
      <c r="C68" s="55">
        <v>1</v>
      </c>
      <c r="D68" s="55">
        <v>41</v>
      </c>
      <c r="E68" s="113"/>
      <c r="F68" s="124">
        <v>229</v>
      </c>
      <c r="G68" s="113" t="s">
        <v>29</v>
      </c>
      <c r="H68" s="9"/>
      <c r="I68" s="124" t="s">
        <v>611</v>
      </c>
      <c r="J68" s="9"/>
      <c r="K68" s="9"/>
      <c r="L68" s="46">
        <v>0</v>
      </c>
      <c r="M68" s="46">
        <v>15000</v>
      </c>
      <c r="N68" s="723">
        <v>0</v>
      </c>
      <c r="O68" s="114">
        <f t="shared" si="2"/>
        <v>0</v>
      </c>
      <c r="P68" s="18">
        <f t="shared" si="3"/>
        <v>0</v>
      </c>
      <c r="R68" s="24" t="s">
        <v>685</v>
      </c>
      <c r="T68" s="124"/>
      <c r="U68" s="9"/>
      <c r="V68" s="9"/>
      <c r="W68" s="46"/>
      <c r="X68" s="46"/>
      <c r="Y68" s="464"/>
      <c r="Z68" s="114"/>
      <c r="AA68" s="125"/>
    </row>
    <row r="69" spans="1:16" ht="15">
      <c r="A69" s="95"/>
      <c r="B69" s="10"/>
      <c r="C69" s="96">
        <v>1</v>
      </c>
      <c r="D69" s="96">
        <v>41</v>
      </c>
      <c r="E69" s="97"/>
      <c r="F69" s="10">
        <v>243</v>
      </c>
      <c r="G69" s="97"/>
      <c r="H69" s="10"/>
      <c r="I69" s="10" t="s">
        <v>312</v>
      </c>
      <c r="J69" s="10"/>
      <c r="K69" s="10"/>
      <c r="L69" s="56">
        <v>150</v>
      </c>
      <c r="M69" s="56">
        <v>161.96</v>
      </c>
      <c r="N69" s="722">
        <v>150</v>
      </c>
      <c r="O69" s="115">
        <f t="shared" si="2"/>
        <v>153</v>
      </c>
      <c r="P69" s="22">
        <f t="shared" si="3"/>
        <v>156</v>
      </c>
    </row>
    <row r="70" spans="1:20" ht="15">
      <c r="A70" s="112"/>
      <c r="B70" s="9"/>
      <c r="C70" s="55">
        <v>1</v>
      </c>
      <c r="D70" s="55">
        <v>41</v>
      </c>
      <c r="E70" s="113"/>
      <c r="F70" s="9">
        <v>229</v>
      </c>
      <c r="G70" s="113" t="s">
        <v>19</v>
      </c>
      <c r="H70" s="9"/>
      <c r="I70" s="9" t="s">
        <v>311</v>
      </c>
      <c r="J70" s="9"/>
      <c r="K70" s="9"/>
      <c r="L70" s="46">
        <v>320000</v>
      </c>
      <c r="M70" s="46">
        <v>332959.38</v>
      </c>
      <c r="N70" s="727">
        <v>164000</v>
      </c>
      <c r="O70" s="114">
        <f t="shared" si="2"/>
        <v>167280</v>
      </c>
      <c r="P70" s="18">
        <f t="shared" si="3"/>
        <v>170560</v>
      </c>
      <c r="S70" s="1"/>
      <c r="T70" s="10"/>
    </row>
    <row r="71" spans="1:20" ht="15">
      <c r="A71" s="112"/>
      <c r="B71" s="9"/>
      <c r="C71" s="55">
        <v>1</v>
      </c>
      <c r="D71" s="55">
        <v>41</v>
      </c>
      <c r="E71" s="113"/>
      <c r="F71" s="9">
        <v>292</v>
      </c>
      <c r="G71" s="113" t="s">
        <v>61</v>
      </c>
      <c r="H71" s="9"/>
      <c r="I71" s="9" t="s">
        <v>521</v>
      </c>
      <c r="J71" s="9"/>
      <c r="K71" s="9"/>
      <c r="L71" s="46">
        <v>167.72</v>
      </c>
      <c r="M71" s="46">
        <v>167.72</v>
      </c>
      <c r="N71" s="723">
        <v>0</v>
      </c>
      <c r="O71" s="114">
        <f t="shared" si="2"/>
        <v>0</v>
      </c>
      <c r="P71" s="18">
        <f t="shared" si="3"/>
        <v>0</v>
      </c>
      <c r="T71" s="10"/>
    </row>
    <row r="72" spans="1:20" ht="15">
      <c r="A72" s="112"/>
      <c r="B72" s="9"/>
      <c r="C72" s="55">
        <v>1</v>
      </c>
      <c r="D72" s="55">
        <v>41</v>
      </c>
      <c r="E72" s="113"/>
      <c r="F72" s="9">
        <v>211</v>
      </c>
      <c r="G72" s="113" t="s">
        <v>12</v>
      </c>
      <c r="H72" s="9"/>
      <c r="I72" s="9" t="s">
        <v>612</v>
      </c>
      <c r="J72" s="9"/>
      <c r="K72" s="9"/>
      <c r="L72" s="46">
        <v>6043.03</v>
      </c>
      <c r="M72" s="46">
        <v>6043.03</v>
      </c>
      <c r="N72" s="723">
        <v>6043.03</v>
      </c>
      <c r="O72" s="114">
        <f t="shared" si="2"/>
        <v>6163.8906</v>
      </c>
      <c r="P72" s="18">
        <f t="shared" si="3"/>
        <v>6284.7512</v>
      </c>
      <c r="T72" s="10"/>
    </row>
    <row r="73" spans="1:16" ht="15">
      <c r="A73" s="112"/>
      <c r="B73" s="9"/>
      <c r="C73" s="55"/>
      <c r="D73" s="55"/>
      <c r="E73" s="113"/>
      <c r="F73" s="9"/>
      <c r="G73" s="113"/>
      <c r="H73" s="9"/>
      <c r="I73" s="9"/>
      <c r="J73" s="9"/>
      <c r="K73" s="9"/>
      <c r="L73" s="46"/>
      <c r="M73" s="46"/>
      <c r="N73" s="723"/>
      <c r="O73" s="114">
        <v>0.02</v>
      </c>
      <c r="P73" s="18">
        <v>0.04</v>
      </c>
    </row>
    <row r="74" spans="1:16" ht="15">
      <c r="A74" s="126"/>
      <c r="B74" s="127" t="s">
        <v>400</v>
      </c>
      <c r="C74" s="128"/>
      <c r="D74" s="128"/>
      <c r="E74" s="129"/>
      <c r="F74" s="127"/>
      <c r="G74" s="129"/>
      <c r="H74" s="127"/>
      <c r="I74" s="127"/>
      <c r="J74" s="127"/>
      <c r="K74" s="127"/>
      <c r="L74" s="457">
        <f>SUM(L75:L78)</f>
        <v>5500</v>
      </c>
      <c r="M74" s="457">
        <f>SUM(M75:M78)</f>
        <v>6310.15</v>
      </c>
      <c r="N74" s="721">
        <f>SUM(N75)</f>
        <v>2000</v>
      </c>
      <c r="O74" s="130">
        <f>O75</f>
        <v>2040</v>
      </c>
      <c r="P74" s="131">
        <f>P75</f>
        <v>2080</v>
      </c>
    </row>
    <row r="75" spans="1:16" ht="15">
      <c r="A75" s="112"/>
      <c r="B75" s="9"/>
      <c r="C75" s="55">
        <v>1</v>
      </c>
      <c r="D75" s="55">
        <v>41</v>
      </c>
      <c r="E75" s="55"/>
      <c r="F75" s="55">
        <v>311</v>
      </c>
      <c r="G75" s="113"/>
      <c r="H75" s="9"/>
      <c r="I75" s="9" t="s">
        <v>313</v>
      </c>
      <c r="J75" s="9"/>
      <c r="K75" s="9"/>
      <c r="L75" s="46">
        <v>1000</v>
      </c>
      <c r="M75" s="46">
        <v>1810.15</v>
      </c>
      <c r="N75" s="723">
        <v>2000</v>
      </c>
      <c r="O75" s="114">
        <f>N75*O73+N75</f>
        <v>2040</v>
      </c>
      <c r="P75" s="18">
        <f>N75+N75*P73</f>
        <v>2080</v>
      </c>
    </row>
    <row r="76" spans="1:16" ht="15">
      <c r="A76" s="112"/>
      <c r="B76" s="9"/>
      <c r="C76" s="55">
        <v>1</v>
      </c>
      <c r="D76" s="55">
        <v>41</v>
      </c>
      <c r="E76" s="55"/>
      <c r="F76" s="55">
        <v>311</v>
      </c>
      <c r="G76" s="113"/>
      <c r="H76" s="9"/>
      <c r="I76" s="9" t="s">
        <v>523</v>
      </c>
      <c r="J76" s="9"/>
      <c r="K76" s="9"/>
      <c r="L76" s="46">
        <v>500</v>
      </c>
      <c r="M76" s="46">
        <v>500</v>
      </c>
      <c r="N76" s="723">
        <v>0</v>
      </c>
      <c r="O76" s="114">
        <f>N76*O74+N76</f>
        <v>0</v>
      </c>
      <c r="P76" s="18">
        <f>N76+N76*P74</f>
        <v>0</v>
      </c>
    </row>
    <row r="77" spans="1:16" ht="15">
      <c r="A77" s="95"/>
      <c r="B77" s="10"/>
      <c r="C77" s="96">
        <v>1</v>
      </c>
      <c r="D77" s="96">
        <v>41</v>
      </c>
      <c r="E77" s="97"/>
      <c r="F77" s="10">
        <v>223</v>
      </c>
      <c r="G77" s="97" t="s">
        <v>10</v>
      </c>
      <c r="H77" s="10"/>
      <c r="I77" s="10" t="s">
        <v>613</v>
      </c>
      <c r="J77" s="10"/>
      <c r="K77" s="10"/>
      <c r="L77" s="56">
        <v>3000</v>
      </c>
      <c r="M77" s="56">
        <v>3000</v>
      </c>
      <c r="N77" s="722">
        <v>0</v>
      </c>
      <c r="O77" s="114">
        <f>N77+N77*$O$30</f>
        <v>0</v>
      </c>
      <c r="P77" s="18">
        <f>N77+N77*$P$30</f>
        <v>0</v>
      </c>
    </row>
    <row r="78" spans="1:16" ht="15">
      <c r="A78" s="95"/>
      <c r="B78" s="10"/>
      <c r="C78" s="96">
        <v>1</v>
      </c>
      <c r="D78" s="96">
        <v>41</v>
      </c>
      <c r="E78" s="97"/>
      <c r="F78" s="10">
        <v>312</v>
      </c>
      <c r="G78" s="97" t="s">
        <v>45</v>
      </c>
      <c r="H78" s="10"/>
      <c r="I78" s="10" t="s">
        <v>522</v>
      </c>
      <c r="J78" s="10"/>
      <c r="K78" s="10"/>
      <c r="L78" s="56">
        <v>1000</v>
      </c>
      <c r="M78" s="56">
        <v>1000</v>
      </c>
      <c r="N78" s="722">
        <v>0</v>
      </c>
      <c r="O78" s="98">
        <v>0.02</v>
      </c>
      <c r="P78" s="17">
        <v>0.04</v>
      </c>
    </row>
    <row r="79" spans="1:16" ht="15">
      <c r="A79" s="126"/>
      <c r="B79" s="127" t="s">
        <v>406</v>
      </c>
      <c r="C79" s="128"/>
      <c r="D79" s="128"/>
      <c r="E79" s="129"/>
      <c r="F79" s="127"/>
      <c r="G79" s="129"/>
      <c r="H79" s="127"/>
      <c r="I79" s="127"/>
      <c r="J79" s="127"/>
      <c r="K79" s="127"/>
      <c r="L79" s="457">
        <f>SUM(L81:L103)</f>
        <v>557559.93</v>
      </c>
      <c r="M79" s="457">
        <f>SUM(M81:M103)</f>
        <v>557559.93</v>
      </c>
      <c r="N79" s="721">
        <f>SUM(N82:N103)</f>
        <v>471725</v>
      </c>
      <c r="O79" s="130">
        <f>SUM(O82:O103)</f>
        <v>481159.50000000006</v>
      </c>
      <c r="P79" s="131">
        <f>SUM(P82:P103)</f>
        <v>490593.99999999994</v>
      </c>
    </row>
    <row r="80" spans="1:16" ht="15">
      <c r="A80" s="95" t="s">
        <v>0</v>
      </c>
      <c r="B80" s="10" t="s">
        <v>1</v>
      </c>
      <c r="C80" s="96" t="s">
        <v>2</v>
      </c>
      <c r="D80" s="96" t="s">
        <v>3</v>
      </c>
      <c r="E80" s="97" t="s">
        <v>263</v>
      </c>
      <c r="F80" s="10" t="s">
        <v>4</v>
      </c>
      <c r="G80" s="97" t="s">
        <v>5</v>
      </c>
      <c r="H80" s="10" t="s">
        <v>6</v>
      </c>
      <c r="I80" s="10" t="s">
        <v>7</v>
      </c>
      <c r="J80" s="10"/>
      <c r="K80" s="10"/>
      <c r="L80" s="56"/>
      <c r="M80" s="56"/>
      <c r="N80" s="722"/>
      <c r="O80" s="98"/>
      <c r="P80" s="17"/>
    </row>
    <row r="81" spans="1:16" ht="15">
      <c r="A81" s="95"/>
      <c r="B81" s="10"/>
      <c r="C81" s="96">
        <v>1</v>
      </c>
      <c r="D81" s="96">
        <v>111</v>
      </c>
      <c r="E81" s="97"/>
      <c r="F81" s="10">
        <v>312</v>
      </c>
      <c r="G81" s="97" t="s">
        <v>614</v>
      </c>
      <c r="H81" s="10"/>
      <c r="I81" s="10" t="s">
        <v>615</v>
      </c>
      <c r="J81" s="10"/>
      <c r="K81" s="10"/>
      <c r="L81" s="56">
        <v>1500</v>
      </c>
      <c r="M81" s="56">
        <v>1500</v>
      </c>
      <c r="N81" s="722">
        <v>0</v>
      </c>
      <c r="O81" s="98">
        <v>0</v>
      </c>
      <c r="P81" s="17">
        <v>0</v>
      </c>
    </row>
    <row r="82" spans="1:16" ht="15">
      <c r="A82" s="112"/>
      <c r="B82" s="9"/>
      <c r="C82" s="55">
        <v>1</v>
      </c>
      <c r="D82" s="55">
        <v>111</v>
      </c>
      <c r="E82" s="113" t="s">
        <v>264</v>
      </c>
      <c r="F82" s="9">
        <v>312</v>
      </c>
      <c r="G82" s="113" t="s">
        <v>10</v>
      </c>
      <c r="H82" s="9"/>
      <c r="I82" s="9" t="s">
        <v>265</v>
      </c>
      <c r="J82" s="9"/>
      <c r="K82" s="9"/>
      <c r="L82" s="46">
        <v>3783.6</v>
      </c>
      <c r="M82" s="46">
        <v>3783.6</v>
      </c>
      <c r="N82" s="723">
        <v>3849</v>
      </c>
      <c r="O82" s="114">
        <f aca="true" t="shared" si="4" ref="O82:O103">N82+N82*$O$78</f>
        <v>3925.98</v>
      </c>
      <c r="P82" s="18">
        <f aca="true" t="shared" si="5" ref="P82:P103">N82+N82*$P$78</f>
        <v>4002.96</v>
      </c>
    </row>
    <row r="83" spans="1:16" ht="15">
      <c r="A83" s="95"/>
      <c r="B83" s="10"/>
      <c r="C83" s="96">
        <v>1</v>
      </c>
      <c r="D83" s="96">
        <v>111</v>
      </c>
      <c r="E83" s="97" t="s">
        <v>271</v>
      </c>
      <c r="F83" s="10">
        <v>312</v>
      </c>
      <c r="G83" s="97" t="s">
        <v>10</v>
      </c>
      <c r="H83" s="10"/>
      <c r="I83" s="10" t="s">
        <v>266</v>
      </c>
      <c r="J83" s="10"/>
      <c r="K83" s="10"/>
      <c r="L83" s="56">
        <v>757.02</v>
      </c>
      <c r="M83" s="56">
        <v>757.02</v>
      </c>
      <c r="N83" s="722">
        <v>745</v>
      </c>
      <c r="O83" s="114">
        <f t="shared" si="4"/>
        <v>759.9</v>
      </c>
      <c r="P83" s="18">
        <f t="shared" si="5"/>
        <v>774.8</v>
      </c>
    </row>
    <row r="84" spans="1:16" ht="15">
      <c r="A84" s="112"/>
      <c r="B84" s="9"/>
      <c r="C84" s="55">
        <v>1</v>
      </c>
      <c r="D84" s="55">
        <v>111</v>
      </c>
      <c r="E84" s="113" t="s">
        <v>272</v>
      </c>
      <c r="F84" s="9">
        <v>312</v>
      </c>
      <c r="G84" s="113" t="s">
        <v>10</v>
      </c>
      <c r="H84" s="9"/>
      <c r="I84" s="9" t="s">
        <v>267</v>
      </c>
      <c r="J84" s="9"/>
      <c r="K84" s="9"/>
      <c r="L84" s="46">
        <v>2133.42</v>
      </c>
      <c r="M84" s="46">
        <v>2133.42</v>
      </c>
      <c r="N84" s="723">
        <v>2130</v>
      </c>
      <c r="O84" s="114">
        <f t="shared" si="4"/>
        <v>2172.6</v>
      </c>
      <c r="P84" s="18">
        <f t="shared" si="5"/>
        <v>2215.2</v>
      </c>
    </row>
    <row r="85" spans="1:27" ht="15">
      <c r="A85" s="95"/>
      <c r="B85" s="10"/>
      <c r="C85" s="96">
        <v>1</v>
      </c>
      <c r="D85" s="96">
        <v>111</v>
      </c>
      <c r="E85" s="97" t="s">
        <v>273</v>
      </c>
      <c r="F85" s="10">
        <v>312</v>
      </c>
      <c r="G85" s="97" t="s">
        <v>10</v>
      </c>
      <c r="H85" s="10"/>
      <c r="I85" s="10" t="s">
        <v>268</v>
      </c>
      <c r="J85" s="10"/>
      <c r="K85" s="10"/>
      <c r="L85" s="56">
        <v>204.6</v>
      </c>
      <c r="M85" s="56">
        <v>204.6</v>
      </c>
      <c r="N85" s="722">
        <v>205</v>
      </c>
      <c r="O85" s="114">
        <f t="shared" si="4"/>
        <v>209.1</v>
      </c>
      <c r="P85" s="18">
        <f t="shared" si="5"/>
        <v>213.2</v>
      </c>
      <c r="T85" s="9"/>
      <c r="U85" s="9"/>
      <c r="V85" s="9"/>
      <c r="W85" s="46"/>
      <c r="X85" s="46"/>
      <c r="Y85" s="464"/>
      <c r="Z85" s="114"/>
      <c r="AA85" s="18"/>
    </row>
    <row r="86" spans="1:27" ht="15">
      <c r="A86" s="112"/>
      <c r="B86" s="9"/>
      <c r="C86" s="55">
        <v>1</v>
      </c>
      <c r="D86" s="55">
        <v>111</v>
      </c>
      <c r="E86" s="113" t="s">
        <v>274</v>
      </c>
      <c r="F86" s="9">
        <v>312</v>
      </c>
      <c r="G86" s="113" t="s">
        <v>10</v>
      </c>
      <c r="H86" s="9"/>
      <c r="I86" s="9" t="s">
        <v>269</v>
      </c>
      <c r="J86" s="9"/>
      <c r="K86" s="9"/>
      <c r="L86" s="46">
        <v>19.87</v>
      </c>
      <c r="M86" s="46">
        <v>19.87</v>
      </c>
      <c r="N86" s="723">
        <v>0</v>
      </c>
      <c r="O86" s="114">
        <f t="shared" si="4"/>
        <v>0</v>
      </c>
      <c r="P86" s="18">
        <f t="shared" si="5"/>
        <v>0</v>
      </c>
      <c r="T86" s="9"/>
      <c r="U86" s="9"/>
      <c r="V86" s="9"/>
      <c r="W86" s="46"/>
      <c r="X86" s="46"/>
      <c r="Y86" s="464"/>
      <c r="Z86" s="114"/>
      <c r="AA86" s="18"/>
    </row>
    <row r="87" spans="1:27" ht="15">
      <c r="A87" s="112"/>
      <c r="B87" s="9"/>
      <c r="C87" s="55">
        <v>1</v>
      </c>
      <c r="D87" s="55">
        <v>111</v>
      </c>
      <c r="E87" s="113" t="s">
        <v>275</v>
      </c>
      <c r="F87" s="9">
        <v>312</v>
      </c>
      <c r="G87" s="113" t="s">
        <v>10</v>
      </c>
      <c r="H87" s="9"/>
      <c r="I87" s="9" t="s">
        <v>533</v>
      </c>
      <c r="J87" s="9"/>
      <c r="K87" s="9"/>
      <c r="L87" s="46">
        <v>263.59</v>
      </c>
      <c r="M87" s="46">
        <v>263.59</v>
      </c>
      <c r="N87" s="723">
        <v>100</v>
      </c>
      <c r="O87" s="114">
        <f t="shared" si="4"/>
        <v>102</v>
      </c>
      <c r="P87" s="18">
        <f t="shared" si="5"/>
        <v>104</v>
      </c>
      <c r="T87" s="9"/>
      <c r="U87" s="9"/>
      <c r="V87" s="9"/>
      <c r="W87" s="46"/>
      <c r="X87" s="46"/>
      <c r="Y87" s="464"/>
      <c r="Z87" s="114"/>
      <c r="AA87" s="18"/>
    </row>
    <row r="88" spans="1:27" ht="15">
      <c r="A88" s="112"/>
      <c r="B88" s="9"/>
      <c r="C88" s="55">
        <v>1</v>
      </c>
      <c r="D88" s="55">
        <v>111</v>
      </c>
      <c r="E88" s="113" t="s">
        <v>535</v>
      </c>
      <c r="F88" s="9">
        <v>312</v>
      </c>
      <c r="G88" s="113" t="s">
        <v>10</v>
      </c>
      <c r="H88" s="9"/>
      <c r="I88" s="9" t="s">
        <v>534</v>
      </c>
      <c r="J88" s="9"/>
      <c r="K88" s="9"/>
      <c r="L88" s="46">
        <v>995.66</v>
      </c>
      <c r="M88" s="46">
        <v>995.66</v>
      </c>
      <c r="N88" s="723">
        <v>1000</v>
      </c>
      <c r="O88" s="114">
        <f t="shared" si="4"/>
        <v>1020</v>
      </c>
      <c r="P88" s="18">
        <f t="shared" si="5"/>
        <v>1040</v>
      </c>
      <c r="T88" s="9"/>
      <c r="U88" s="9"/>
      <c r="V88" s="9"/>
      <c r="W88" s="46"/>
      <c r="X88" s="46"/>
      <c r="Y88" s="464"/>
      <c r="Z88" s="114"/>
      <c r="AA88" s="18"/>
    </row>
    <row r="89" spans="1:27" ht="15">
      <c r="A89" s="112"/>
      <c r="B89" s="9"/>
      <c r="C89" s="55">
        <v>1</v>
      </c>
      <c r="D89" s="55">
        <v>111</v>
      </c>
      <c r="E89" s="113" t="s">
        <v>536</v>
      </c>
      <c r="F89" s="9">
        <v>312</v>
      </c>
      <c r="G89" s="113" t="s">
        <v>10</v>
      </c>
      <c r="H89" s="9"/>
      <c r="I89" s="9" t="s">
        <v>270</v>
      </c>
      <c r="J89" s="9"/>
      <c r="K89" s="9"/>
      <c r="L89" s="473">
        <v>105.15</v>
      </c>
      <c r="M89" s="46">
        <v>105.15</v>
      </c>
      <c r="N89" s="723">
        <v>105</v>
      </c>
      <c r="O89" s="114">
        <f t="shared" si="4"/>
        <v>107.1</v>
      </c>
      <c r="P89" s="18">
        <f t="shared" si="5"/>
        <v>109.2</v>
      </c>
      <c r="T89" s="9"/>
      <c r="U89" s="9"/>
      <c r="V89" s="9"/>
      <c r="W89" s="46"/>
      <c r="X89" s="46"/>
      <c r="Y89" s="464"/>
      <c r="Z89" s="114"/>
      <c r="AA89" s="18"/>
    </row>
    <row r="90" spans="1:27" ht="15">
      <c r="A90" s="112"/>
      <c r="B90" s="9"/>
      <c r="C90" s="55">
        <v>1</v>
      </c>
      <c r="D90" s="55">
        <v>111</v>
      </c>
      <c r="E90" s="113" t="s">
        <v>276</v>
      </c>
      <c r="F90" s="9">
        <v>312</v>
      </c>
      <c r="G90" s="113" t="s">
        <v>10</v>
      </c>
      <c r="H90" s="9"/>
      <c r="I90" s="9" t="s">
        <v>545</v>
      </c>
      <c r="J90" s="9"/>
      <c r="K90" s="9"/>
      <c r="L90" s="56">
        <v>7857.18</v>
      </c>
      <c r="M90" s="56">
        <v>7857.18</v>
      </c>
      <c r="N90" s="722">
        <v>0</v>
      </c>
      <c r="O90" s="114">
        <f t="shared" si="4"/>
        <v>0</v>
      </c>
      <c r="P90" s="18">
        <f t="shared" si="5"/>
        <v>0</v>
      </c>
      <c r="T90" s="10"/>
      <c r="U90" s="10"/>
      <c r="V90" s="10"/>
      <c r="W90" s="56"/>
      <c r="X90" s="56"/>
      <c r="Y90" s="463"/>
      <c r="Z90" s="114"/>
      <c r="AA90" s="18"/>
    </row>
    <row r="91" spans="1:27" ht="15">
      <c r="A91" s="112"/>
      <c r="B91" s="9"/>
      <c r="C91" s="55">
        <v>1</v>
      </c>
      <c r="D91" s="55">
        <v>111</v>
      </c>
      <c r="E91" s="113" t="s">
        <v>537</v>
      </c>
      <c r="F91" s="9">
        <v>312</v>
      </c>
      <c r="G91" s="113" t="s">
        <v>10</v>
      </c>
      <c r="H91" s="9"/>
      <c r="I91" s="9" t="s">
        <v>538</v>
      </c>
      <c r="J91" s="9"/>
      <c r="K91" s="9"/>
      <c r="L91" s="56">
        <v>9.4</v>
      </c>
      <c r="M91" s="56">
        <v>9.4</v>
      </c>
      <c r="N91" s="722">
        <v>9</v>
      </c>
      <c r="O91" s="114">
        <f t="shared" si="4"/>
        <v>9.18</v>
      </c>
      <c r="P91" s="18">
        <f t="shared" si="5"/>
        <v>9.36</v>
      </c>
      <c r="T91" s="10"/>
      <c r="U91" s="10"/>
      <c r="V91" s="10"/>
      <c r="W91" s="56"/>
      <c r="X91" s="56"/>
      <c r="Y91" s="463"/>
      <c r="Z91" s="114"/>
      <c r="AA91" s="18"/>
    </row>
    <row r="92" spans="1:27" ht="15">
      <c r="A92" s="112"/>
      <c r="B92" s="9"/>
      <c r="C92" s="55">
        <v>1</v>
      </c>
      <c r="D92" s="55">
        <v>111</v>
      </c>
      <c r="E92" s="113" t="s">
        <v>616</v>
      </c>
      <c r="F92" s="9">
        <v>312</v>
      </c>
      <c r="G92" s="113" t="s">
        <v>10</v>
      </c>
      <c r="H92" s="9"/>
      <c r="I92" s="9" t="s">
        <v>617</v>
      </c>
      <c r="J92" s="9"/>
      <c r="K92" s="9"/>
      <c r="L92" s="56">
        <v>25500</v>
      </c>
      <c r="M92" s="56">
        <v>25500</v>
      </c>
      <c r="N92" s="722">
        <v>0</v>
      </c>
      <c r="O92" s="114">
        <f t="shared" si="4"/>
        <v>0</v>
      </c>
      <c r="P92" s="18">
        <f t="shared" si="5"/>
        <v>0</v>
      </c>
      <c r="T92" s="10"/>
      <c r="U92" s="10"/>
      <c r="V92" s="10"/>
      <c r="W92" s="56"/>
      <c r="X92" s="56"/>
      <c r="Y92" s="463"/>
      <c r="Z92" s="114"/>
      <c r="AA92" s="18"/>
    </row>
    <row r="93" spans="1:27" ht="15">
      <c r="A93" s="112"/>
      <c r="B93" s="9"/>
      <c r="C93" s="55">
        <v>1</v>
      </c>
      <c r="D93" s="55">
        <v>111</v>
      </c>
      <c r="E93" s="113" t="s">
        <v>539</v>
      </c>
      <c r="F93" s="9">
        <v>312</v>
      </c>
      <c r="G93" s="113" t="s">
        <v>10</v>
      </c>
      <c r="H93" s="9"/>
      <c r="I93" s="9" t="s">
        <v>540</v>
      </c>
      <c r="J93" s="9"/>
      <c r="K93" s="9"/>
      <c r="L93" s="56">
        <v>96423.32</v>
      </c>
      <c r="M93" s="56">
        <v>96423.32</v>
      </c>
      <c r="N93" s="722">
        <v>31000</v>
      </c>
      <c r="O93" s="114">
        <f t="shared" si="4"/>
        <v>31620</v>
      </c>
      <c r="P93" s="18">
        <f t="shared" si="5"/>
        <v>32240</v>
      </c>
      <c r="T93" s="10"/>
      <c r="U93" s="10"/>
      <c r="V93" s="10"/>
      <c r="W93" s="56"/>
      <c r="X93" s="56"/>
      <c r="Y93" s="463"/>
      <c r="Z93" s="114"/>
      <c r="AA93" s="18"/>
    </row>
    <row r="94" spans="1:27" ht="15">
      <c r="A94" s="112"/>
      <c r="B94" s="9"/>
      <c r="C94" s="55">
        <v>1</v>
      </c>
      <c r="D94" s="55">
        <v>111</v>
      </c>
      <c r="E94" s="113" t="s">
        <v>543</v>
      </c>
      <c r="F94" s="9">
        <v>312</v>
      </c>
      <c r="G94" s="113" t="s">
        <v>10</v>
      </c>
      <c r="H94" s="9"/>
      <c r="I94" s="9" t="s">
        <v>544</v>
      </c>
      <c r="J94" s="9"/>
      <c r="K94" s="9"/>
      <c r="L94" s="56">
        <v>97056</v>
      </c>
      <c r="M94" s="56">
        <v>97056</v>
      </c>
      <c r="N94" s="722">
        <v>109992</v>
      </c>
      <c r="O94" s="114">
        <f t="shared" si="4"/>
        <v>112191.84</v>
      </c>
      <c r="P94" s="18">
        <f t="shared" si="5"/>
        <v>114391.68</v>
      </c>
      <c r="R94" s="1"/>
      <c r="T94" s="10"/>
      <c r="U94" s="10"/>
      <c r="V94" s="10"/>
      <c r="W94" s="56"/>
      <c r="X94" s="56"/>
      <c r="Y94" s="463"/>
      <c r="Z94" s="114"/>
      <c r="AA94" s="18"/>
    </row>
    <row r="95" spans="1:27" ht="15">
      <c r="A95" s="112"/>
      <c r="B95" s="9"/>
      <c r="C95" s="55">
        <v>1</v>
      </c>
      <c r="D95" s="55">
        <v>111</v>
      </c>
      <c r="E95" s="113" t="s">
        <v>546</v>
      </c>
      <c r="F95" s="9">
        <v>312</v>
      </c>
      <c r="G95" s="113" t="s">
        <v>10</v>
      </c>
      <c r="H95" s="9"/>
      <c r="I95" s="9" t="s">
        <v>540</v>
      </c>
      <c r="J95" s="9"/>
      <c r="K95" s="9"/>
      <c r="L95" s="56">
        <v>8184.64</v>
      </c>
      <c r="M95" s="56">
        <v>8184.64</v>
      </c>
      <c r="N95" s="722">
        <v>0</v>
      </c>
      <c r="O95" s="114">
        <f t="shared" si="4"/>
        <v>0</v>
      </c>
      <c r="P95" s="18">
        <f t="shared" si="5"/>
        <v>0</v>
      </c>
      <c r="T95" s="10"/>
      <c r="U95" s="10"/>
      <c r="V95" s="10"/>
      <c r="W95" s="56"/>
      <c r="X95" s="56"/>
      <c r="Y95" s="463"/>
      <c r="Z95" s="114"/>
      <c r="AA95" s="18"/>
    </row>
    <row r="96" spans="1:27" ht="15">
      <c r="A96" s="112"/>
      <c r="B96" s="9"/>
      <c r="C96" s="55">
        <v>1</v>
      </c>
      <c r="D96" s="55">
        <v>111</v>
      </c>
      <c r="E96" s="113" t="s">
        <v>536</v>
      </c>
      <c r="F96" s="9">
        <v>312</v>
      </c>
      <c r="G96" s="113" t="s">
        <v>10</v>
      </c>
      <c r="H96" s="9"/>
      <c r="I96" s="9" t="s">
        <v>547</v>
      </c>
      <c r="J96" s="9"/>
      <c r="K96" s="9"/>
      <c r="L96" s="56">
        <v>202.33</v>
      </c>
      <c r="M96" s="56">
        <v>202.33</v>
      </c>
      <c r="N96" s="722">
        <v>0</v>
      </c>
      <c r="O96" s="114">
        <f t="shared" si="4"/>
        <v>0</v>
      </c>
      <c r="P96" s="18">
        <f t="shared" si="5"/>
        <v>0</v>
      </c>
      <c r="T96" s="10"/>
      <c r="U96" s="10"/>
      <c r="V96" s="10"/>
      <c r="W96" s="56"/>
      <c r="X96" s="56"/>
      <c r="Y96" s="463"/>
      <c r="Z96" s="114"/>
      <c r="AA96" s="18"/>
    </row>
    <row r="97" spans="1:27" ht="15">
      <c r="A97" s="112"/>
      <c r="B97" s="9"/>
      <c r="C97" s="55">
        <v>1</v>
      </c>
      <c r="D97" s="55">
        <v>111</v>
      </c>
      <c r="E97" s="113" t="s">
        <v>282</v>
      </c>
      <c r="F97" s="9">
        <v>312</v>
      </c>
      <c r="G97" s="113" t="s">
        <v>10</v>
      </c>
      <c r="H97" s="9"/>
      <c r="I97" s="9" t="s">
        <v>281</v>
      </c>
      <c r="J97" s="9"/>
      <c r="K97" s="9"/>
      <c r="L97" s="46">
        <v>294184</v>
      </c>
      <c r="M97" s="46">
        <v>294184</v>
      </c>
      <c r="N97" s="723">
        <v>304870</v>
      </c>
      <c r="O97" s="114">
        <f t="shared" si="4"/>
        <v>310967.4</v>
      </c>
      <c r="P97" s="18">
        <f t="shared" si="5"/>
        <v>317064.8</v>
      </c>
      <c r="T97" s="10"/>
      <c r="U97" s="10"/>
      <c r="V97" s="10"/>
      <c r="W97" s="56"/>
      <c r="X97" s="56"/>
      <c r="Y97" s="463"/>
      <c r="Z97" s="114"/>
      <c r="AA97" s="18"/>
    </row>
    <row r="98" spans="1:27" ht="15">
      <c r="A98" s="95"/>
      <c r="B98" s="10"/>
      <c r="C98" s="96">
        <v>1</v>
      </c>
      <c r="D98" s="96">
        <v>111</v>
      </c>
      <c r="E98" s="97" t="s">
        <v>283</v>
      </c>
      <c r="F98" s="10">
        <v>312</v>
      </c>
      <c r="G98" s="97" t="s">
        <v>10</v>
      </c>
      <c r="H98" s="10"/>
      <c r="I98" s="10" t="s">
        <v>277</v>
      </c>
      <c r="J98" s="10"/>
      <c r="K98" s="10"/>
      <c r="L98" s="56">
        <v>3711</v>
      </c>
      <c r="M98" s="56">
        <v>3711</v>
      </c>
      <c r="N98" s="722">
        <v>3292</v>
      </c>
      <c r="O98" s="114">
        <f t="shared" si="4"/>
        <v>3357.84</v>
      </c>
      <c r="P98" s="18">
        <f t="shared" si="5"/>
        <v>3423.68</v>
      </c>
      <c r="T98" s="9"/>
      <c r="U98" s="9"/>
      <c r="V98" s="9"/>
      <c r="W98" s="46"/>
      <c r="X98" s="46"/>
      <c r="Y98" s="464"/>
      <c r="Z98" s="114"/>
      <c r="AA98" s="18"/>
    </row>
    <row r="99" spans="1:27" ht="15">
      <c r="A99" s="112"/>
      <c r="B99" s="9"/>
      <c r="C99" s="55">
        <v>1</v>
      </c>
      <c r="D99" s="55">
        <v>111</v>
      </c>
      <c r="E99" s="113" t="s">
        <v>284</v>
      </c>
      <c r="F99" s="9">
        <v>312</v>
      </c>
      <c r="G99" s="113" t="s">
        <v>10</v>
      </c>
      <c r="H99" s="9"/>
      <c r="I99" s="9" t="s">
        <v>278</v>
      </c>
      <c r="J99" s="9"/>
      <c r="K99" s="9"/>
      <c r="L99" s="46">
        <v>6722</v>
      </c>
      <c r="M99" s="46">
        <v>6722</v>
      </c>
      <c r="N99" s="723">
        <v>6406</v>
      </c>
      <c r="O99" s="114">
        <f t="shared" si="4"/>
        <v>6534.12</v>
      </c>
      <c r="P99" s="18">
        <f t="shared" si="5"/>
        <v>6662.24</v>
      </c>
      <c r="T99" s="10"/>
      <c r="U99" s="10"/>
      <c r="V99" s="10"/>
      <c r="W99" s="56"/>
      <c r="X99" s="56"/>
      <c r="Y99" s="463"/>
      <c r="Z99" s="114"/>
      <c r="AA99" s="18"/>
    </row>
    <row r="100" spans="1:27" ht="15">
      <c r="A100" s="95"/>
      <c r="B100" s="10"/>
      <c r="C100" s="96">
        <v>1</v>
      </c>
      <c r="D100" s="96">
        <v>111</v>
      </c>
      <c r="E100" s="97" t="s">
        <v>285</v>
      </c>
      <c r="F100" s="10">
        <v>312</v>
      </c>
      <c r="G100" s="97" t="s">
        <v>10</v>
      </c>
      <c r="H100" s="10"/>
      <c r="I100" s="10" t="s">
        <v>362</v>
      </c>
      <c r="J100" s="10"/>
      <c r="K100" s="10"/>
      <c r="L100" s="56">
        <v>470.55</v>
      </c>
      <c r="M100" s="56">
        <v>470.55</v>
      </c>
      <c r="N100" s="722">
        <v>500</v>
      </c>
      <c r="O100" s="114">
        <f t="shared" si="4"/>
        <v>510</v>
      </c>
      <c r="P100" s="18">
        <f t="shared" si="5"/>
        <v>520</v>
      </c>
      <c r="T100" s="9"/>
      <c r="U100" s="9"/>
      <c r="V100" s="9"/>
      <c r="W100" s="46"/>
      <c r="X100" s="46"/>
      <c r="Y100" s="464"/>
      <c r="Z100" s="114"/>
      <c r="AA100" s="18"/>
    </row>
    <row r="101" spans="1:27" ht="15">
      <c r="A101" s="112"/>
      <c r="B101" s="9"/>
      <c r="C101" s="55">
        <v>1</v>
      </c>
      <c r="D101" s="55">
        <v>111</v>
      </c>
      <c r="E101" s="113" t="s">
        <v>541</v>
      </c>
      <c r="F101" s="9">
        <v>312</v>
      </c>
      <c r="G101" s="113" t="s">
        <v>10</v>
      </c>
      <c r="H101" s="9"/>
      <c r="I101" s="9" t="s">
        <v>279</v>
      </c>
      <c r="J101" s="9"/>
      <c r="K101" s="9"/>
      <c r="L101" s="46">
        <v>99.6</v>
      </c>
      <c r="M101" s="46">
        <v>99.6</v>
      </c>
      <c r="N101" s="723">
        <v>132</v>
      </c>
      <c r="O101" s="114">
        <f t="shared" si="4"/>
        <v>134.64</v>
      </c>
      <c r="P101" s="18">
        <f t="shared" si="5"/>
        <v>137.28</v>
      </c>
      <c r="R101" s="24" t="s">
        <v>686</v>
      </c>
      <c r="T101" s="9"/>
      <c r="U101" s="9"/>
      <c r="V101" s="9"/>
      <c r="W101" s="46"/>
      <c r="X101" s="46"/>
      <c r="Y101" s="464"/>
      <c r="Z101" s="114"/>
      <c r="AA101" s="18"/>
    </row>
    <row r="102" spans="1:27" ht="15">
      <c r="A102" s="112"/>
      <c r="B102" s="9"/>
      <c r="C102" s="55">
        <v>1</v>
      </c>
      <c r="D102" s="55">
        <v>111</v>
      </c>
      <c r="E102" s="113" t="s">
        <v>286</v>
      </c>
      <c r="F102" s="9">
        <v>312</v>
      </c>
      <c r="G102" s="113" t="s">
        <v>10</v>
      </c>
      <c r="H102" s="9"/>
      <c r="I102" s="9" t="s">
        <v>280</v>
      </c>
      <c r="J102" s="9"/>
      <c r="K102" s="9"/>
      <c r="L102" s="46">
        <v>5091</v>
      </c>
      <c r="M102" s="46">
        <v>5091</v>
      </c>
      <c r="N102" s="723">
        <v>5100</v>
      </c>
      <c r="O102" s="114">
        <f t="shared" si="4"/>
        <v>5202</v>
      </c>
      <c r="P102" s="18">
        <f t="shared" si="5"/>
        <v>5304</v>
      </c>
      <c r="T102" s="117"/>
      <c r="U102" s="117"/>
      <c r="V102" s="117"/>
      <c r="W102" s="86"/>
      <c r="X102" s="86"/>
      <c r="Y102" s="465"/>
      <c r="Z102" s="114"/>
      <c r="AA102" s="18"/>
    </row>
    <row r="103" spans="1:17" ht="15">
      <c r="A103" s="116"/>
      <c r="B103" s="117"/>
      <c r="C103" s="118">
        <v>1</v>
      </c>
      <c r="D103" s="118">
        <v>111</v>
      </c>
      <c r="E103" s="119" t="s">
        <v>542</v>
      </c>
      <c r="F103" s="117">
        <v>312</v>
      </c>
      <c r="G103" s="119" t="s">
        <v>10</v>
      </c>
      <c r="H103" s="117"/>
      <c r="I103" s="117" t="s">
        <v>445</v>
      </c>
      <c r="J103" s="117"/>
      <c r="K103" s="117"/>
      <c r="L103" s="86">
        <v>2286</v>
      </c>
      <c r="M103" s="86">
        <v>2286</v>
      </c>
      <c r="N103" s="724">
        <v>2290</v>
      </c>
      <c r="O103" s="114">
        <f t="shared" si="4"/>
        <v>2335.8</v>
      </c>
      <c r="P103" s="18">
        <f t="shared" si="5"/>
        <v>2381.6</v>
      </c>
      <c r="Q103" s="27"/>
    </row>
    <row r="104" spans="1:16" ht="15">
      <c r="A104" s="112"/>
      <c r="B104" s="9"/>
      <c r="C104" s="55"/>
      <c r="D104" s="55"/>
      <c r="E104" s="113"/>
      <c r="F104" s="9"/>
      <c r="G104" s="113"/>
      <c r="H104" s="9"/>
      <c r="I104" s="9"/>
      <c r="J104" s="9"/>
      <c r="K104" s="9"/>
      <c r="L104" s="46"/>
      <c r="M104" s="46"/>
      <c r="N104" s="723"/>
      <c r="O104" s="114"/>
      <c r="P104" s="18"/>
    </row>
    <row r="105" spans="1:16" ht="15.75" thickBot="1">
      <c r="A105" s="280"/>
      <c r="B105" s="281"/>
      <c r="C105" s="282">
        <v>1</v>
      </c>
      <c r="D105" s="282">
        <v>41</v>
      </c>
      <c r="E105" s="283"/>
      <c r="F105" s="281"/>
      <c r="G105" s="283"/>
      <c r="H105" s="281"/>
      <c r="I105" s="281" t="s">
        <v>370</v>
      </c>
      <c r="J105" s="281"/>
      <c r="K105" s="281"/>
      <c r="L105" s="459">
        <f>L6+L12+L20+L31+L74+L79</f>
        <v>1808088.52</v>
      </c>
      <c r="M105" s="459">
        <f>M6+M12+M20+M31+M74+M79</f>
        <v>1829753.2000000002</v>
      </c>
      <c r="N105" s="284">
        <f>N6+N12+N20+N31+N74+N79</f>
        <v>1648283.03</v>
      </c>
      <c r="O105" s="285">
        <f>O6+O20+O31+O74+O79+O12</f>
        <v>1681248.6906</v>
      </c>
      <c r="P105" s="286">
        <f>P6+P12+P20+P31+P74+P79</f>
        <v>1714214.3512000002</v>
      </c>
    </row>
    <row r="106" spans="1:16" ht="15">
      <c r="A106" s="287"/>
      <c r="B106" s="288" t="s">
        <v>365</v>
      </c>
      <c r="C106" s="289"/>
      <c r="D106" s="289"/>
      <c r="E106" s="290"/>
      <c r="F106" s="291"/>
      <c r="G106" s="290"/>
      <c r="H106" s="291"/>
      <c r="I106" s="291"/>
      <c r="J106" s="291"/>
      <c r="K106" s="291"/>
      <c r="L106" s="460">
        <f>L107</f>
        <v>1695.95</v>
      </c>
      <c r="M106" s="460">
        <f>M107</f>
        <v>7530.95</v>
      </c>
      <c r="N106" s="728">
        <f>N107</f>
        <v>1000</v>
      </c>
      <c r="O106" s="292">
        <f>O107</f>
        <v>1000</v>
      </c>
      <c r="P106" s="293">
        <f>P107</f>
        <v>1000</v>
      </c>
    </row>
    <row r="107" spans="1:16" ht="15">
      <c r="A107" s="116"/>
      <c r="B107" s="117"/>
      <c r="C107" s="118">
        <v>2</v>
      </c>
      <c r="D107" s="118">
        <v>43</v>
      </c>
      <c r="E107" s="119"/>
      <c r="F107" s="117">
        <v>233</v>
      </c>
      <c r="G107" s="119" t="s">
        <v>10</v>
      </c>
      <c r="H107" s="117"/>
      <c r="I107" s="117" t="s">
        <v>364</v>
      </c>
      <c r="J107" s="117"/>
      <c r="K107" s="117"/>
      <c r="L107" s="86">
        <v>1695.95</v>
      </c>
      <c r="M107" s="86">
        <v>7530.95</v>
      </c>
      <c r="N107" s="729">
        <v>1000</v>
      </c>
      <c r="O107" s="115">
        <v>1000</v>
      </c>
      <c r="P107" s="22">
        <v>1000</v>
      </c>
    </row>
    <row r="108" spans="1:16" ht="15">
      <c r="A108" s="95"/>
      <c r="B108" s="10"/>
      <c r="C108" s="96"/>
      <c r="D108" s="96"/>
      <c r="E108" s="97"/>
      <c r="F108" s="10"/>
      <c r="G108" s="97"/>
      <c r="H108" s="10"/>
      <c r="I108" s="10"/>
      <c r="J108" s="10"/>
      <c r="K108" s="10"/>
      <c r="L108" s="56"/>
      <c r="M108" s="56"/>
      <c r="N108" s="730">
        <v>0</v>
      </c>
      <c r="O108" s="98"/>
      <c r="P108" s="17"/>
    </row>
    <row r="109" spans="1:16" ht="15.75" thickBot="1">
      <c r="A109" s="294"/>
      <c r="B109" s="281"/>
      <c r="C109" s="282">
        <v>1</v>
      </c>
      <c r="D109" s="282">
        <v>43</v>
      </c>
      <c r="E109" s="283"/>
      <c r="F109" s="281"/>
      <c r="G109" s="283"/>
      <c r="H109" s="281"/>
      <c r="I109" s="281" t="s">
        <v>371</v>
      </c>
      <c r="J109" s="281"/>
      <c r="K109" s="281"/>
      <c r="L109" s="459">
        <f>L107</f>
        <v>1695.95</v>
      </c>
      <c r="M109" s="459">
        <f>M107</f>
        <v>7530.95</v>
      </c>
      <c r="N109" s="731">
        <f>N107+N108</f>
        <v>1000</v>
      </c>
      <c r="O109" s="284">
        <f>O107</f>
        <v>1000</v>
      </c>
      <c r="P109" s="286">
        <f>P107</f>
        <v>1000</v>
      </c>
    </row>
    <row r="110" spans="1:16" ht="15.75" thickBot="1">
      <c r="A110" s="287"/>
      <c r="B110" s="288" t="s">
        <v>553</v>
      </c>
      <c r="C110" s="289"/>
      <c r="D110" s="289"/>
      <c r="E110" s="290"/>
      <c r="F110" s="291"/>
      <c r="G110" s="290"/>
      <c r="H110" s="291"/>
      <c r="I110" s="291"/>
      <c r="J110" s="291"/>
      <c r="K110" s="291"/>
      <c r="L110" s="460">
        <f>L111</f>
        <v>0</v>
      </c>
      <c r="M110" s="460">
        <f>M111</f>
        <v>0</v>
      </c>
      <c r="N110" s="728">
        <f>N111</f>
        <v>0</v>
      </c>
      <c r="O110" s="292">
        <f>O111</f>
        <v>0</v>
      </c>
      <c r="P110" s="293">
        <f>P111</f>
        <v>0</v>
      </c>
    </row>
    <row r="111" spans="1:16" ht="15.75" thickBot="1">
      <c r="A111" s="295"/>
      <c r="B111" s="100"/>
      <c r="C111" s="100"/>
      <c r="D111" s="101"/>
      <c r="E111" s="101"/>
      <c r="F111" s="296"/>
      <c r="G111" s="296"/>
      <c r="H111" s="100"/>
      <c r="I111" s="100"/>
      <c r="J111" s="100"/>
      <c r="K111" s="100"/>
      <c r="L111" s="461"/>
      <c r="M111" s="461"/>
      <c r="N111" s="297"/>
      <c r="O111" s="297"/>
      <c r="P111" s="298"/>
    </row>
    <row r="112" spans="1:16" ht="15">
      <c r="A112" s="299"/>
      <c r="B112" s="477"/>
      <c r="C112" s="100">
        <v>3</v>
      </c>
      <c r="D112" s="101">
        <v>46</v>
      </c>
      <c r="E112" s="101"/>
      <c r="F112" s="296" t="s">
        <v>555</v>
      </c>
      <c r="G112" s="296" t="s">
        <v>10</v>
      </c>
      <c r="H112" s="300"/>
      <c r="I112" s="300" t="s">
        <v>554</v>
      </c>
      <c r="J112" s="300"/>
      <c r="K112" s="300"/>
      <c r="L112" s="462">
        <v>135800</v>
      </c>
      <c r="M112" s="462">
        <v>135800</v>
      </c>
      <c r="N112" s="303"/>
      <c r="O112" s="303"/>
      <c r="P112" s="304"/>
    </row>
    <row r="113" spans="1:16" ht="15">
      <c r="A113" s="299"/>
      <c r="B113" s="300"/>
      <c r="C113" s="301"/>
      <c r="D113" s="301"/>
      <c r="E113" s="302"/>
      <c r="F113" s="300"/>
      <c r="G113" s="302"/>
      <c r="H113" s="300"/>
      <c r="I113" s="300"/>
      <c r="J113" s="300"/>
      <c r="K113" s="300"/>
      <c r="L113" s="462"/>
      <c r="M113" s="462"/>
      <c r="N113" s="303"/>
      <c r="O113" s="303"/>
      <c r="P113" s="304"/>
    </row>
    <row r="114" spans="1:16" ht="15.75" thickBot="1">
      <c r="A114" s="294"/>
      <c r="B114" s="281"/>
      <c r="C114" s="282" t="s">
        <v>556</v>
      </c>
      <c r="D114" s="282"/>
      <c r="E114" s="283"/>
      <c r="F114" s="281"/>
      <c r="G114" s="283"/>
      <c r="H114" s="281"/>
      <c r="I114" s="281"/>
      <c r="J114" s="281"/>
      <c r="K114" s="281"/>
      <c r="L114" s="459">
        <f>L112+L113</f>
        <v>135800</v>
      </c>
      <c r="M114" s="459">
        <f>M112+M113</f>
        <v>135800</v>
      </c>
      <c r="N114" s="284">
        <f>SUM(N112:N113)</f>
        <v>0</v>
      </c>
      <c r="O114" s="284">
        <f>SUM(O112:O113)</f>
        <v>0</v>
      </c>
      <c r="P114" s="305">
        <f>SUM(P112:P113)</f>
        <v>0</v>
      </c>
    </row>
    <row r="115" spans="1:16" ht="15">
      <c r="A115" s="295"/>
      <c r="B115" s="100"/>
      <c r="C115" s="100" t="s">
        <v>407</v>
      </c>
      <c r="D115" s="101"/>
      <c r="E115" s="101"/>
      <c r="F115" s="296"/>
      <c r="G115" s="100"/>
      <c r="H115" s="100"/>
      <c r="I115" s="100"/>
      <c r="J115" s="100"/>
      <c r="K115" s="100"/>
      <c r="L115" s="461"/>
      <c r="M115" s="461"/>
      <c r="N115" s="297"/>
      <c r="O115" s="297"/>
      <c r="P115" s="298"/>
    </row>
    <row r="116" spans="1:16" ht="15">
      <c r="A116" s="299"/>
      <c r="B116" s="300" t="s">
        <v>366</v>
      </c>
      <c r="C116" s="301"/>
      <c r="D116" s="301"/>
      <c r="E116" s="302"/>
      <c r="F116" s="300"/>
      <c r="G116" s="302"/>
      <c r="H116" s="300"/>
      <c r="I116" s="300"/>
      <c r="J116" s="300"/>
      <c r="K116" s="300"/>
      <c r="L116" s="462">
        <f>L105</f>
        <v>1808088.52</v>
      </c>
      <c r="M116" s="462">
        <f>M105</f>
        <v>1829753.2000000002</v>
      </c>
      <c r="N116" s="303">
        <f>N105</f>
        <v>1648283.03</v>
      </c>
      <c r="O116" s="303">
        <f>O105</f>
        <v>1681248.6906</v>
      </c>
      <c r="P116" s="304">
        <f>P105</f>
        <v>1714214.3512000002</v>
      </c>
    </row>
    <row r="117" spans="1:16" ht="15.75" thickBot="1">
      <c r="A117" s="299"/>
      <c r="B117" s="300" t="s">
        <v>365</v>
      </c>
      <c r="C117" s="301"/>
      <c r="D117" s="301"/>
      <c r="E117" s="302"/>
      <c r="F117" s="300"/>
      <c r="G117" s="302"/>
      <c r="H117" s="300"/>
      <c r="I117" s="300"/>
      <c r="J117" s="300"/>
      <c r="K117" s="300"/>
      <c r="L117" s="462">
        <f>L109</f>
        <v>1695.95</v>
      </c>
      <c r="M117" s="462">
        <f>M109</f>
        <v>7530.95</v>
      </c>
      <c r="N117" s="303">
        <f>N109</f>
        <v>1000</v>
      </c>
      <c r="O117" s="303">
        <f>O109</f>
        <v>1000</v>
      </c>
      <c r="P117" s="304">
        <f>P109</f>
        <v>1000</v>
      </c>
    </row>
    <row r="118" spans="1:16" ht="15">
      <c r="A118" s="299"/>
      <c r="B118" s="477" t="s">
        <v>553</v>
      </c>
      <c r="C118" s="478"/>
      <c r="D118" s="478"/>
      <c r="E118" s="479"/>
      <c r="F118" s="480"/>
      <c r="G118" s="479"/>
      <c r="H118" s="300"/>
      <c r="I118" s="300" t="s">
        <v>554</v>
      </c>
      <c r="J118" s="300"/>
      <c r="K118" s="300"/>
      <c r="L118" s="462">
        <v>135800</v>
      </c>
      <c r="M118" s="462">
        <v>135800</v>
      </c>
      <c r="N118" s="303">
        <f>N112</f>
        <v>0</v>
      </c>
      <c r="O118" s="303">
        <f>O114</f>
        <v>0</v>
      </c>
      <c r="P118" s="304">
        <f>P114</f>
        <v>0</v>
      </c>
    </row>
    <row r="119" spans="1:16" ht="15.75" thickBot="1">
      <c r="A119" s="294"/>
      <c r="B119" s="281"/>
      <c r="C119" s="282" t="s">
        <v>408</v>
      </c>
      <c r="D119" s="282"/>
      <c r="E119" s="283"/>
      <c r="F119" s="281"/>
      <c r="G119" s="283"/>
      <c r="H119" s="281"/>
      <c r="I119" s="281"/>
      <c r="J119" s="281"/>
      <c r="K119" s="281"/>
      <c r="L119" s="459">
        <f>SUM(L116:L118)</f>
        <v>1945584.47</v>
      </c>
      <c r="M119" s="459">
        <f>SUM(M116:M118)</f>
        <v>1973084.1500000001</v>
      </c>
      <c r="N119" s="284">
        <f>SUM(N116:N118)</f>
        <v>1649283.03</v>
      </c>
      <c r="O119" s="284">
        <f>SUM(O116:O118)</f>
        <v>1682248.6906</v>
      </c>
      <c r="P119" s="305">
        <f>SUM(P116:P118)</f>
        <v>1715214.3512000002</v>
      </c>
    </row>
    <row r="120" spans="3:7" ht="15">
      <c r="C120" s="24"/>
      <c r="D120" s="24"/>
      <c r="E120" s="24"/>
      <c r="G120" s="24"/>
    </row>
    <row r="121" spans="3:13" ht="15">
      <c r="C121" s="24"/>
      <c r="D121" s="24"/>
      <c r="E121" s="24"/>
      <c r="G121" s="24"/>
      <c r="L121" s="178">
        <v>1811508.52</v>
      </c>
      <c r="M121" s="178"/>
    </row>
    <row r="122" spans="3:13" ht="15">
      <c r="C122" s="24"/>
      <c r="D122" s="24"/>
      <c r="E122" s="24"/>
      <c r="G122" s="24"/>
      <c r="L122" s="178">
        <f>L121-L116</f>
        <v>3420</v>
      </c>
      <c r="M122" s="178"/>
    </row>
    <row r="123" spans="3:13" ht="15">
      <c r="C123" s="24"/>
      <c r="D123" s="24"/>
      <c r="E123" s="24"/>
      <c r="G123" s="24"/>
      <c r="L123" s="178"/>
      <c r="M123" s="178">
        <v>1829753.2</v>
      </c>
    </row>
    <row r="124" spans="3:13" ht="15">
      <c r="C124" s="24"/>
      <c r="D124" s="24"/>
      <c r="E124" s="24"/>
      <c r="G124" s="24"/>
      <c r="L124" s="178"/>
      <c r="M124" s="178">
        <f>M123-M116</f>
        <v>0</v>
      </c>
    </row>
    <row r="125" spans="3:7" ht="15">
      <c r="C125" s="24"/>
      <c r="D125" s="24"/>
      <c r="E125" s="24"/>
      <c r="G125" s="24"/>
    </row>
    <row r="126" spans="1:7" ht="15">
      <c r="A126" s="24" t="s">
        <v>624</v>
      </c>
      <c r="C126" s="24"/>
      <c r="D126" s="24"/>
      <c r="E126" s="24"/>
      <c r="G126" s="24"/>
    </row>
    <row r="127" spans="1:7" ht="15">
      <c r="A127" s="24" t="s">
        <v>480</v>
      </c>
      <c r="C127" s="24"/>
      <c r="D127" s="24"/>
      <c r="E127" s="24"/>
      <c r="G127" s="24"/>
    </row>
    <row r="128" spans="1:16" ht="15">
      <c r="A128" s="518" t="s">
        <v>676</v>
      </c>
      <c r="B128" s="518"/>
      <c r="C128" s="518"/>
      <c r="D128" s="518"/>
      <c r="E128" s="518"/>
      <c r="G128" s="24"/>
      <c r="L128" s="24"/>
      <c r="M128" s="24"/>
      <c r="N128" s="518"/>
      <c r="O128" s="24"/>
      <c r="P128" s="24"/>
    </row>
    <row r="129" spans="1:14" s="541" customFormat="1" ht="15">
      <c r="A129" s="662" t="s">
        <v>678</v>
      </c>
      <c r="B129" s="662"/>
      <c r="C129" s="662"/>
      <c r="D129" s="662"/>
      <c r="E129" s="662"/>
      <c r="N129" s="662"/>
    </row>
    <row r="130" spans="1:14" s="541" customFormat="1" ht="15">
      <c r="A130" s="662" t="s">
        <v>397</v>
      </c>
      <c r="B130" s="662"/>
      <c r="C130" s="662"/>
      <c r="D130" s="662"/>
      <c r="E130" s="662"/>
      <c r="N130" s="662"/>
    </row>
    <row r="131" spans="1:14" s="541" customFormat="1" ht="15">
      <c r="A131" s="662" t="s">
        <v>441</v>
      </c>
      <c r="B131" s="663"/>
      <c r="C131" s="662"/>
      <c r="D131" s="768">
        <v>41352</v>
      </c>
      <c r="E131" s="768"/>
      <c r="F131" s="768"/>
      <c r="N131" s="662"/>
    </row>
    <row r="132" spans="1:14" s="541" customFormat="1" ht="15">
      <c r="A132" s="662" t="s">
        <v>677</v>
      </c>
      <c r="B132" s="664"/>
      <c r="C132" s="662"/>
      <c r="D132" s="768">
        <v>41366</v>
      </c>
      <c r="E132" s="769"/>
      <c r="F132" s="769"/>
      <c r="N132" s="662"/>
    </row>
    <row r="133" spans="1:14" s="514" customFormat="1" ht="15">
      <c r="A133" s="515"/>
      <c r="B133" s="516"/>
      <c r="C133" s="515"/>
      <c r="D133" s="515"/>
      <c r="E133" s="515"/>
      <c r="F133" s="517"/>
      <c r="N133" s="662"/>
    </row>
  </sheetData>
  <sheetProtection/>
  <mergeCells count="5">
    <mergeCell ref="A1:O1"/>
    <mergeCell ref="N4:P4"/>
    <mergeCell ref="A2:M2"/>
    <mergeCell ref="D132:F132"/>
    <mergeCell ref="D131:F13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K26" sqref="K26"/>
    </sheetView>
  </sheetViews>
  <sheetFormatPr defaultColWidth="9.140625" defaultRowHeight="15"/>
  <cols>
    <col min="5" max="5" width="11.7109375" style="0" customWidth="1"/>
    <col min="6" max="6" width="12.421875" style="0" customWidth="1"/>
    <col min="7" max="7" width="11.57421875" style="0" customWidth="1"/>
    <col min="9" max="9" width="11.421875" style="0" bestFit="1" customWidth="1"/>
  </cols>
  <sheetData>
    <row r="1" spans="9:17" ht="21">
      <c r="I1" s="474" t="s">
        <v>499</v>
      </c>
      <c r="J1" s="475"/>
      <c r="K1" s="475"/>
      <c r="L1" s="475"/>
      <c r="M1" s="475"/>
      <c r="N1" s="475"/>
      <c r="O1" s="475"/>
      <c r="P1" s="475"/>
      <c r="Q1" s="475"/>
    </row>
    <row r="2" ht="15">
      <c r="B2" t="s">
        <v>679</v>
      </c>
    </row>
    <row r="3" ht="15">
      <c r="B3" s="2" t="s">
        <v>489</v>
      </c>
    </row>
    <row r="4" ht="15">
      <c r="B4" t="s">
        <v>619</v>
      </c>
    </row>
    <row r="5" ht="15.75" thickBot="1"/>
    <row r="6" spans="2:6" ht="15">
      <c r="B6" s="405"/>
      <c r="C6" s="406"/>
      <c r="D6" s="406"/>
      <c r="E6" s="413" t="s">
        <v>495</v>
      </c>
      <c r="F6" s="404"/>
    </row>
    <row r="7" spans="2:6" ht="15">
      <c r="B7" s="407"/>
      <c r="C7" s="408"/>
      <c r="D7" s="408"/>
      <c r="E7" s="414" t="s">
        <v>497</v>
      </c>
      <c r="F7" s="404"/>
    </row>
    <row r="8" spans="2:6" ht="15">
      <c r="B8" s="411"/>
      <c r="C8" s="412"/>
      <c r="D8" s="412"/>
      <c r="E8" s="415" t="s">
        <v>390</v>
      </c>
      <c r="F8" s="404"/>
    </row>
    <row r="9" spans="2:5" ht="15">
      <c r="B9" s="407" t="s">
        <v>366</v>
      </c>
      <c r="C9" s="408"/>
      <c r="D9" s="408"/>
      <c r="E9" s="416">
        <f>'Rozpočet celkom'!H9</f>
        <v>1648283.03</v>
      </c>
    </row>
    <row r="10" spans="2:5" ht="15">
      <c r="B10" s="417" t="s">
        <v>365</v>
      </c>
      <c r="C10" s="418"/>
      <c r="D10" s="418"/>
      <c r="E10" s="419">
        <f>'Rozpočet celkom'!H12</f>
        <v>1000</v>
      </c>
    </row>
    <row r="11" spans="2:5" ht="15">
      <c r="B11" s="417" t="s">
        <v>493</v>
      </c>
      <c r="C11" s="418"/>
      <c r="D11" s="418"/>
      <c r="E11" s="419">
        <f>'Rozpočet celkom'!H15</f>
        <v>0</v>
      </c>
    </row>
    <row r="12" spans="2:5" ht="15.75" thickBot="1">
      <c r="B12" s="420" t="s">
        <v>490</v>
      </c>
      <c r="C12" s="421"/>
      <c r="D12" s="421"/>
      <c r="E12" s="422">
        <f>SUM(E9:E11)</f>
        <v>1649283.03</v>
      </c>
    </row>
    <row r="13" ht="15.75" thickBot="1"/>
    <row r="14" spans="2:7" ht="15">
      <c r="B14" s="405"/>
      <c r="C14" s="406"/>
      <c r="D14" s="406"/>
      <c r="E14" s="423" t="s">
        <v>495</v>
      </c>
      <c r="F14" s="657" t="s">
        <v>670</v>
      </c>
      <c r="G14" s="647" t="s">
        <v>656</v>
      </c>
    </row>
    <row r="15" spans="2:7" ht="15">
      <c r="B15" s="407" t="s">
        <v>655</v>
      </c>
      <c r="C15" s="408"/>
      <c r="D15" s="408"/>
      <c r="E15" s="424" t="str">
        <f>E7</f>
        <v>rok 2013</v>
      </c>
      <c r="F15" s="424" t="s">
        <v>497</v>
      </c>
      <c r="G15" s="648" t="s">
        <v>497</v>
      </c>
    </row>
    <row r="16" spans="2:7" ht="15">
      <c r="B16" s="411"/>
      <c r="C16" s="412"/>
      <c r="D16" s="412"/>
      <c r="E16" s="649" t="s">
        <v>390</v>
      </c>
      <c r="F16" s="649" t="s">
        <v>390</v>
      </c>
      <c r="G16" s="650" t="s">
        <v>657</v>
      </c>
    </row>
    <row r="17" spans="2:7" ht="15">
      <c r="B17" s="407" t="s">
        <v>491</v>
      </c>
      <c r="C17" s="408"/>
      <c r="D17" s="408"/>
      <c r="E17" s="425">
        <f>'Rozpočet celkom'!H10</f>
        <v>916182</v>
      </c>
      <c r="F17" s="425">
        <f>'Rozpočet celkom'!H20+'Rozpočet celkom'!H21+'Rozpočet celkom'!H22+'Rozpočet celkom'!H23</f>
        <v>548590</v>
      </c>
      <c r="G17" s="410">
        <f>SUM(E17:F17)</f>
        <v>1464772</v>
      </c>
    </row>
    <row r="18" spans="2:7" ht="15">
      <c r="B18" s="417" t="s">
        <v>360</v>
      </c>
      <c r="C18" s="418"/>
      <c r="D18" s="418"/>
      <c r="E18" s="429">
        <f>'Rozpočet celkom'!H13</f>
        <v>107700</v>
      </c>
      <c r="F18" s="651"/>
      <c r="G18" s="430">
        <f>SUM(E18:F18)</f>
        <v>107700</v>
      </c>
    </row>
    <row r="19" spans="2:7" ht="15">
      <c r="B19" s="417" t="s">
        <v>492</v>
      </c>
      <c r="C19" s="418"/>
      <c r="D19" s="418"/>
      <c r="E19" s="429">
        <f>'Rozpočet celkom'!H16</f>
        <v>73917</v>
      </c>
      <c r="F19" s="651"/>
      <c r="G19" s="430">
        <f>SUM(E19:F19)</f>
        <v>73917</v>
      </c>
    </row>
    <row r="20" spans="2:9" ht="15.75" thickBot="1">
      <c r="B20" s="420" t="s">
        <v>494</v>
      </c>
      <c r="C20" s="421"/>
      <c r="D20" s="421"/>
      <c r="E20" s="433">
        <f>SUM(E17:E19)</f>
        <v>1097799</v>
      </c>
      <c r="F20" s="433">
        <f>SUM(F17:F19)</f>
        <v>548590</v>
      </c>
      <c r="G20" s="434">
        <f>SUM(G17:G19)</f>
        <v>1646389</v>
      </c>
      <c r="I20" s="646"/>
    </row>
    <row r="23" spans="1:6" ht="15">
      <c r="A23" s="1"/>
      <c r="B23" s="24" t="s">
        <v>680</v>
      </c>
      <c r="C23" s="1"/>
      <c r="D23" s="1"/>
      <c r="E23" s="1"/>
      <c r="F23" s="1"/>
    </row>
    <row r="24" ht="15">
      <c r="B24" s="2" t="s">
        <v>496</v>
      </c>
    </row>
    <row r="25" ht="15">
      <c r="B25" t="s">
        <v>620</v>
      </c>
    </row>
    <row r="26" ht="15.75" thickBot="1"/>
    <row r="27" spans="2:6" ht="15">
      <c r="B27" s="405"/>
      <c r="C27" s="406"/>
      <c r="D27" s="406"/>
      <c r="E27" s="423" t="s">
        <v>495</v>
      </c>
      <c r="F27" s="657" t="s">
        <v>670</v>
      </c>
    </row>
    <row r="28" spans="2:6" ht="15">
      <c r="B28" s="407"/>
      <c r="C28" s="408"/>
      <c r="D28" s="408"/>
      <c r="E28" s="424" t="s">
        <v>498</v>
      </c>
      <c r="F28" s="409" t="s">
        <v>621</v>
      </c>
    </row>
    <row r="29" spans="2:6" ht="15">
      <c r="B29" s="407"/>
      <c r="C29" s="408"/>
      <c r="D29" s="408"/>
      <c r="E29" s="424" t="s">
        <v>390</v>
      </c>
      <c r="F29" s="409" t="s">
        <v>390</v>
      </c>
    </row>
    <row r="30" spans="2:6" ht="15">
      <c r="B30" s="417" t="s">
        <v>366</v>
      </c>
      <c r="C30" s="418"/>
      <c r="D30" s="418"/>
      <c r="E30" s="429">
        <f>'Rozpočet celkom'!I9</f>
        <v>1681248.6906</v>
      </c>
      <c r="F30" s="430">
        <f>'Rozpočet celkom'!J9</f>
        <v>1714214.3512000002</v>
      </c>
    </row>
    <row r="31" spans="2:6" ht="15">
      <c r="B31" s="407" t="s">
        <v>365</v>
      </c>
      <c r="C31" s="408"/>
      <c r="D31" s="408"/>
      <c r="E31" s="425">
        <f>'Rozpočet celkom'!I12</f>
        <v>0</v>
      </c>
      <c r="F31" s="410">
        <f>'Rozpočet celkom'!J12</f>
        <v>0</v>
      </c>
    </row>
    <row r="32" spans="2:6" ht="15">
      <c r="B32" s="417" t="s">
        <v>493</v>
      </c>
      <c r="C32" s="418"/>
      <c r="D32" s="418"/>
      <c r="E32" s="429">
        <f>'Rozpočet celkom'!I15</f>
        <v>0</v>
      </c>
      <c r="F32" s="430">
        <f>'Rozpočet celkom'!J15</f>
        <v>0</v>
      </c>
    </row>
    <row r="33" spans="2:6" ht="15.75" thickBot="1">
      <c r="B33" s="420" t="s">
        <v>490</v>
      </c>
      <c r="C33" s="421"/>
      <c r="D33" s="421"/>
      <c r="E33" s="433">
        <f>SUM(E30:E32)</f>
        <v>1681248.6906</v>
      </c>
      <c r="F33" s="434">
        <f>SUM(F30:F32)</f>
        <v>1714214.3512000002</v>
      </c>
    </row>
    <row r="34" ht="15.75" thickBot="1"/>
    <row r="35" spans="2:7" ht="15">
      <c r="B35" s="405"/>
      <c r="C35" s="406"/>
      <c r="D35" s="406"/>
      <c r="E35" s="426" t="s">
        <v>495</v>
      </c>
      <c r="F35" s="657" t="s">
        <v>670</v>
      </c>
      <c r="G35" s="647" t="s">
        <v>656</v>
      </c>
    </row>
    <row r="36" spans="2:7" ht="15">
      <c r="B36" s="407"/>
      <c r="C36" s="408"/>
      <c r="D36" s="408"/>
      <c r="E36" s="427" t="str">
        <f>E28</f>
        <v>rok 2014</v>
      </c>
      <c r="F36" s="424" t="str">
        <f>E36</f>
        <v>rok 2014</v>
      </c>
      <c r="G36" s="648" t="str">
        <f>E36</f>
        <v>rok 2014</v>
      </c>
    </row>
    <row r="37" spans="2:7" ht="15">
      <c r="B37" s="407"/>
      <c r="C37" s="408"/>
      <c r="D37" s="408"/>
      <c r="E37" s="427" t="s">
        <v>390</v>
      </c>
      <c r="F37" s="424" t="s">
        <v>390</v>
      </c>
      <c r="G37" s="650" t="s">
        <v>657</v>
      </c>
    </row>
    <row r="38" spans="2:7" ht="15">
      <c r="B38" s="417" t="s">
        <v>491</v>
      </c>
      <c r="C38" s="418"/>
      <c r="D38" s="418"/>
      <c r="E38" s="431">
        <f>'Rozpočet celkom'!I10</f>
        <v>933281.32</v>
      </c>
      <c r="F38" s="429">
        <f>'Rozpočet celkom'!I20+'Rozpočet celkom'!I21+'Rozpočet celkom'!I22+'Rozpočet celkom'!I23</f>
        <v>555041.8</v>
      </c>
      <c r="G38" s="410">
        <f>SUM(E38:F38)</f>
        <v>1488323.12</v>
      </c>
    </row>
    <row r="39" spans="2:7" ht="15">
      <c r="B39" s="407" t="s">
        <v>360</v>
      </c>
      <c r="C39" s="408"/>
      <c r="D39" s="408"/>
      <c r="E39" s="428">
        <f>'Rozpočet celkom'!I13</f>
        <v>91494</v>
      </c>
      <c r="F39" s="425"/>
      <c r="G39" s="430">
        <f>SUM(E39:F39)</f>
        <v>91494</v>
      </c>
    </row>
    <row r="40" spans="2:7" ht="15">
      <c r="B40" s="417" t="s">
        <v>492</v>
      </c>
      <c r="C40" s="418"/>
      <c r="D40" s="418"/>
      <c r="E40" s="431">
        <f>'Rozpočet celkom'!I16</f>
        <v>73917</v>
      </c>
      <c r="F40" s="429"/>
      <c r="G40" s="430">
        <f>SUM(E40:F40)</f>
        <v>73917</v>
      </c>
    </row>
    <row r="41" spans="2:9" ht="15.75" thickBot="1">
      <c r="B41" s="420" t="s">
        <v>494</v>
      </c>
      <c r="C41" s="421"/>
      <c r="D41" s="421"/>
      <c r="E41" s="432">
        <f>SUM(E38:E40)</f>
        <v>1098692.3199999998</v>
      </c>
      <c r="F41" s="433">
        <f>SUM(F38:F40)</f>
        <v>555041.8</v>
      </c>
      <c r="G41" s="434">
        <f>SUM(G38:G40)</f>
        <v>1653734.12</v>
      </c>
      <c r="I41" s="656"/>
    </row>
    <row r="42" ht="15.75" thickBot="1"/>
    <row r="43" spans="2:7" ht="15">
      <c r="B43" s="405"/>
      <c r="C43" s="406"/>
      <c r="D43" s="406"/>
      <c r="E43" s="426" t="s">
        <v>495</v>
      </c>
      <c r="F43" s="657" t="s">
        <v>670</v>
      </c>
      <c r="G43" s="647" t="s">
        <v>656</v>
      </c>
    </row>
    <row r="44" spans="2:7" ht="15">
      <c r="B44" s="407"/>
      <c r="C44" s="408"/>
      <c r="D44" s="408"/>
      <c r="E44" s="427" t="s">
        <v>621</v>
      </c>
      <c r="F44" s="424" t="str">
        <f>E44</f>
        <v>rok 2015</v>
      </c>
      <c r="G44" s="648" t="str">
        <f>E44</f>
        <v>rok 2015</v>
      </c>
    </row>
    <row r="45" spans="2:7" ht="15">
      <c r="B45" s="407"/>
      <c r="C45" s="408"/>
      <c r="D45" s="408"/>
      <c r="E45" s="427" t="s">
        <v>390</v>
      </c>
      <c r="F45" s="424" t="s">
        <v>390</v>
      </c>
      <c r="G45" s="650" t="str">
        <f>G37</f>
        <v>v € spolu</v>
      </c>
    </row>
    <row r="46" spans="2:7" ht="15">
      <c r="B46" s="417" t="s">
        <v>491</v>
      </c>
      <c r="C46" s="418"/>
      <c r="D46" s="418"/>
      <c r="E46" s="431">
        <f>'Rozpočet celkom'!I18</f>
        <v>582556.3706000001</v>
      </c>
      <c r="F46" s="429">
        <f>'Rozpočet celkom'!J20+'Rozpočet celkom'!J21+'Rozpočet celkom'!J22+'Rozpočet celkom'!J23</f>
        <v>561493.6</v>
      </c>
      <c r="G46" s="410">
        <f>SUM(E46:F46)</f>
        <v>1144049.9706000001</v>
      </c>
    </row>
    <row r="47" spans="2:7" ht="15">
      <c r="B47" s="407" t="s">
        <v>360</v>
      </c>
      <c r="C47" s="408"/>
      <c r="D47" s="408"/>
      <c r="E47" s="428">
        <f>'Rozpočet celkom'!I21</f>
        <v>210000</v>
      </c>
      <c r="F47" s="425"/>
      <c r="G47" s="430">
        <f>SUM(E47:F47)</f>
        <v>210000</v>
      </c>
    </row>
    <row r="48" spans="2:7" ht="15">
      <c r="B48" s="417" t="s">
        <v>492</v>
      </c>
      <c r="C48" s="418"/>
      <c r="D48" s="418"/>
      <c r="E48" s="431">
        <f>'Rozpočet celkom'!I24</f>
        <v>103041.79999999999</v>
      </c>
      <c r="F48" s="429"/>
      <c r="G48" s="430">
        <f>SUM(E48:F48)</f>
        <v>103041.79999999999</v>
      </c>
    </row>
    <row r="49" spans="2:7" ht="15.75" thickBot="1">
      <c r="B49" s="420" t="s">
        <v>494</v>
      </c>
      <c r="C49" s="421"/>
      <c r="D49" s="421"/>
      <c r="E49" s="432">
        <f>SUM(E46:E48)</f>
        <v>895598.1706000001</v>
      </c>
      <c r="F49" s="433">
        <f>SUM(F46:F48)</f>
        <v>561493.6</v>
      </c>
      <c r="G49" s="434">
        <f>SUM(G46:G48)</f>
        <v>1457091.7706000002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2013-03-19T15:40:24Z</dcterms:modified>
  <cp:category/>
  <cp:version/>
  <cp:contentType/>
  <cp:contentStatus/>
</cp:coreProperties>
</file>